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aopedromarquesgomes/Desktop/Session 6 (Mar 31)/"/>
    </mc:Choice>
  </mc:AlternateContent>
  <xr:revisionPtr revIDLastSave="0" documentId="13_ncr:1_{3397BC8A-EFBF-D44D-BFEF-DCE83014596C}" xr6:coauthVersionLast="45" xr6:coauthVersionMax="45" xr10:uidLastSave="{00000000-0000-0000-0000-000000000000}"/>
  <bookViews>
    <workbookView xWindow="980" yWindow="460" windowWidth="26160" windowHeight="17320" xr2:uid="{00000000-000D-0000-FFFF-FFFF00000000}"/>
  </bookViews>
  <sheets>
    <sheet name="DPOS Assignment Worksheet" sheetId="1" r:id="rId1"/>
  </sheets>
  <definedNames>
    <definedName name="_xlnm.Print_Area" localSheetId="0">'DPOS Assignment Worksheet'!$A$1:$M$126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6" i="1" l="1"/>
  <c r="D106" i="1"/>
  <c r="C106" i="1"/>
  <c r="B106" i="1"/>
  <c r="C78" i="1"/>
  <c r="C62" i="1"/>
  <c r="D62" i="1"/>
  <c r="D78" i="1" s="1"/>
  <c r="E62" i="1"/>
  <c r="E78" i="1" s="1"/>
  <c r="B62" i="1"/>
  <c r="B78" i="1" s="1"/>
  <c r="E112" i="1" l="1"/>
  <c r="E107" i="1"/>
  <c r="J29" i="1"/>
  <c r="J30" i="1"/>
  <c r="J28" i="1"/>
  <c r="B37" i="1"/>
  <c r="H29" i="1"/>
  <c r="H30" i="1"/>
  <c r="H28" i="1"/>
  <c r="K28" i="1" s="1"/>
  <c r="K25" i="1"/>
  <c r="J25" i="1"/>
  <c r="I25" i="1"/>
  <c r="I24" i="1"/>
  <c r="J23" i="1"/>
  <c r="I23" i="1"/>
  <c r="B16" i="1"/>
  <c r="B17" i="1" s="1"/>
  <c r="B70" i="1" s="1"/>
  <c r="B109" i="1" s="1"/>
  <c r="B110" i="1" s="1"/>
  <c r="D16" i="1"/>
  <c r="D17" i="1" s="1"/>
  <c r="E16" i="1"/>
  <c r="E17" i="1" s="1"/>
  <c r="E70" i="1" s="1"/>
  <c r="E109" i="1" s="1"/>
  <c r="E110" i="1" s="1"/>
  <c r="C16" i="1"/>
  <c r="C17" i="1" s="1"/>
  <c r="C70" i="1" s="1"/>
  <c r="C109" i="1" l="1"/>
  <c r="C107" i="1"/>
  <c r="B112" i="1"/>
  <c r="B107" i="1"/>
  <c r="D50" i="1"/>
  <c r="D64" i="1" s="1"/>
  <c r="D80" i="1" s="1"/>
  <c r="D70" i="1"/>
  <c r="B50" i="1"/>
  <c r="B64" i="1" s="1"/>
  <c r="B80" i="1" s="1"/>
  <c r="K29" i="1"/>
  <c r="K30" i="1"/>
  <c r="C50" i="1"/>
  <c r="C64" i="1" s="1"/>
  <c r="C80" i="1" s="1"/>
  <c r="C20" i="1"/>
  <c r="C71" i="1" s="1"/>
  <c r="C88" i="1" s="1"/>
  <c r="C97" i="1" s="1"/>
  <c r="C115" i="1" s="1"/>
  <c r="E50" i="1"/>
  <c r="E64" i="1" s="1"/>
  <c r="E80" i="1" s="1"/>
  <c r="E20" i="1"/>
  <c r="E71" i="1" s="1"/>
  <c r="E88" i="1" s="1"/>
  <c r="E97" i="1" s="1"/>
  <c r="E115" i="1" s="1"/>
  <c r="B20" i="1"/>
  <c r="B71" i="1" s="1"/>
  <c r="B88" i="1" s="1"/>
  <c r="D20" i="1"/>
  <c r="D71" i="1" s="1"/>
  <c r="D88" i="1" s="1"/>
  <c r="D97" i="1" s="1"/>
  <c r="D115" i="1" s="1"/>
  <c r="C45" i="1"/>
  <c r="F102" i="1" l="1"/>
  <c r="F93" i="1"/>
  <c r="F101" i="1"/>
  <c r="F91" i="1"/>
  <c r="F100" i="1"/>
  <c r="F92" i="1"/>
  <c r="B97" i="1"/>
  <c r="D109" i="1"/>
  <c r="D107" i="1"/>
  <c r="E111" i="1"/>
  <c r="E116" i="1" s="1"/>
  <c r="E117" i="1" s="1"/>
  <c r="C117" i="1"/>
  <c r="C110" i="1"/>
  <c r="C111" i="1" s="1"/>
  <c r="C116" i="1" s="1"/>
  <c r="C112" i="1"/>
  <c r="D29" i="1"/>
  <c r="D30" i="1"/>
  <c r="D28" i="1"/>
  <c r="E28" i="1"/>
  <c r="E30" i="1"/>
  <c r="E29" i="1"/>
  <c r="B30" i="1"/>
  <c r="B28" i="1"/>
  <c r="B29" i="1"/>
  <c r="C29" i="1"/>
  <c r="C30" i="1"/>
  <c r="C28" i="1"/>
  <c r="E45" i="1"/>
  <c r="D45" i="1"/>
  <c r="B45" i="1"/>
  <c r="E44" i="1"/>
  <c r="D44" i="1"/>
  <c r="C44" i="1"/>
  <c r="B44" i="1"/>
  <c r="E43" i="1"/>
  <c r="D43" i="1"/>
  <c r="C43" i="1"/>
  <c r="B43" i="1"/>
  <c r="B47" i="1" s="1"/>
  <c r="B115" i="1" l="1"/>
  <c r="B111" i="1"/>
  <c r="B116" i="1" s="1"/>
  <c r="D112" i="1"/>
  <c r="D110" i="1"/>
  <c r="D111" i="1" s="1"/>
  <c r="D116" i="1" s="1"/>
  <c r="D117" i="1" s="1"/>
  <c r="F74" i="1"/>
  <c r="F76" i="1"/>
  <c r="F75" i="1"/>
  <c r="F28" i="1"/>
  <c r="I28" i="1" s="1"/>
  <c r="E47" i="1"/>
  <c r="E56" i="1" s="1"/>
  <c r="C47" i="1"/>
  <c r="C53" i="1" s="1"/>
  <c r="F29" i="1"/>
  <c r="I29" i="1" s="1"/>
  <c r="D47" i="1"/>
  <c r="F30" i="1"/>
  <c r="I30" i="1" s="1"/>
  <c r="B56" i="1"/>
  <c r="B53" i="1"/>
  <c r="B48" i="1"/>
  <c r="B51" i="1"/>
  <c r="B52" i="1" s="1"/>
  <c r="B57" i="1" s="1"/>
  <c r="F115" i="1" l="1"/>
  <c r="B117" i="1"/>
  <c r="F117" i="1" s="1"/>
  <c r="C48" i="1"/>
  <c r="C56" i="1"/>
  <c r="E53" i="1"/>
  <c r="C51" i="1"/>
  <c r="C52" i="1" s="1"/>
  <c r="C57" i="1" s="1"/>
  <c r="E48" i="1"/>
  <c r="E51" i="1"/>
  <c r="E52" i="1" s="1"/>
  <c r="E57" i="1" s="1"/>
  <c r="E58" i="1" s="1"/>
  <c r="E63" i="1" s="1"/>
  <c r="E79" i="1" s="1"/>
  <c r="B58" i="1"/>
  <c r="B63" i="1" s="1"/>
  <c r="B79" i="1" s="1"/>
  <c r="D48" i="1"/>
  <c r="D53" i="1"/>
  <c r="D56" i="1"/>
  <c r="D51" i="1"/>
  <c r="D52" i="1" s="1"/>
  <c r="D57" i="1" s="1"/>
  <c r="C58" i="1" l="1"/>
  <c r="C63" i="1" s="1"/>
  <c r="C79" i="1" s="1"/>
  <c r="H57" i="1"/>
  <c r="D58" i="1"/>
  <c r="D63" i="1" s="1"/>
  <c r="H56" i="1"/>
  <c r="H63" i="1" l="1"/>
  <c r="D79" i="1"/>
  <c r="F79" i="1" s="1"/>
  <c r="F118" i="1" s="1"/>
  <c r="H58" i="1"/>
</calcChain>
</file>

<file path=xl/sharedStrings.xml><?xml version="1.0" encoding="utf-8"?>
<sst xmlns="http://schemas.openxmlformats.org/spreadsheetml/2006/main" count="179" uniqueCount="110">
  <si>
    <t>ASR</t>
  </si>
  <si>
    <t>RN</t>
  </si>
  <si>
    <t>CA</t>
  </si>
  <si>
    <t>Surgeon</t>
  </si>
  <si>
    <t>Note: The numbers in this spreedsheet have been disguised and/or based on national numbers and are not representative of actual operations of Boston Children's Hospital</t>
  </si>
  <si>
    <t>DPOS Assignment Worksheet</t>
  </si>
  <si>
    <t>Resource</t>
  </si>
  <si>
    <t>Weeks per year</t>
  </si>
  <si>
    <t>Less: Vacation &amp; Holidays</t>
  </si>
  <si>
    <t>Less: Training and Leave</t>
  </si>
  <si>
    <t>Available weeks per year</t>
  </si>
  <si>
    <t>Hours per day</t>
  </si>
  <si>
    <t>Less: Breaks, training, meetings</t>
  </si>
  <si>
    <t>Available hours</t>
  </si>
  <si>
    <t>Less: Estimate of Research &amp; Education time (%)</t>
  </si>
  <si>
    <t>Clinical Hours  per day</t>
  </si>
  <si>
    <t>Cllinical minutes available per day</t>
  </si>
  <si>
    <t>Clinical minutes available per year</t>
  </si>
  <si>
    <t>Annual Cost per person</t>
  </si>
  <si>
    <t>Capacity cost rate ($ per minute)</t>
  </si>
  <si>
    <t>Plagiocephaly</t>
  </si>
  <si>
    <t>Neoplasm skin excision</t>
  </si>
  <si>
    <t>Craniosynostosis</t>
  </si>
  <si>
    <t>Medical Diagnosis Cost per patient visit</t>
  </si>
  <si>
    <t>Total cost</t>
  </si>
  <si>
    <t>Charge</t>
  </si>
  <si>
    <t>Average reimbursement</t>
  </si>
  <si>
    <t>TDABC Profit</t>
  </si>
  <si>
    <t>RCC Cost</t>
  </si>
  <si>
    <t>RCC Profit</t>
  </si>
  <si>
    <t>Plastic Surgery Dept.</t>
  </si>
  <si>
    <t>Charges</t>
  </si>
  <si>
    <t>Costs</t>
  </si>
  <si>
    <t>Reimbursement</t>
  </si>
  <si>
    <t>RCC: Ratio of costs-to-charges</t>
  </si>
  <si>
    <t>Average DPOS reimbursement rate</t>
  </si>
  <si>
    <t>Annual Quantity</t>
  </si>
  <si>
    <t>Minutes demanded</t>
  </si>
  <si>
    <t>Minutes supplied</t>
  </si>
  <si>
    <t>Unused capacity (minutes)</t>
  </si>
  <si>
    <t>Cost of unused capacity</t>
  </si>
  <si>
    <t>Percent capacity utilization</t>
  </si>
  <si>
    <t># required of each personnel type (round up to nearest integer)</t>
  </si>
  <si>
    <t>Clinical minutes available per day x Availble weeks per yer x 5 days a week</t>
  </si>
  <si>
    <t>Clinical Hours per day x 60 minutes per hour</t>
  </si>
  <si>
    <t>Annual Cost per person / Clinical minutes available per year</t>
  </si>
  <si>
    <t>Exhibit 10</t>
  </si>
  <si>
    <t>Exhibit 8</t>
  </si>
  <si>
    <t>From Exhibit 7</t>
  </si>
  <si>
    <t>Capacity cost rate x process times</t>
  </si>
  <si>
    <t>This is in page 5</t>
  </si>
  <si>
    <t>Reimbursement / Charges</t>
  </si>
  <si>
    <t>Average reimbursement - Total cost</t>
  </si>
  <si>
    <t>RCC Cost = Charges x RCC rate</t>
  </si>
  <si>
    <t>Average reimbursement - RCC cost</t>
  </si>
  <si>
    <t>From the handout</t>
  </si>
  <si>
    <t>Estimate demand for surgical office time: 18 minutes x 5 400 visits + 22 minutes x 2 000 visits + 40 minutes x 800 visits</t>
  </si>
  <si>
    <t>This is per person</t>
  </si>
  <si>
    <t># required of each personnel type (rounded up to nearest integer) x Clinical minutes available per year</t>
  </si>
  <si>
    <t>Unused capacity (minutes) = Minutes supplied - Minutes demanded</t>
  </si>
  <si>
    <t>Unused capacity (minutes) x Capacity cost rate</t>
  </si>
  <si>
    <t>Minutes demanded / Minutes supplied</t>
  </si>
  <si>
    <t>Cost to procedures</t>
  </si>
  <si>
    <t>Used capacity (minutes demanded) x Capacity cost rate</t>
  </si>
  <si>
    <t>Computed above</t>
  </si>
  <si>
    <t>Total office expenses</t>
  </si>
  <si>
    <t>Cost</t>
  </si>
  <si>
    <t>Plastic Surgery Annual Resource Utilization</t>
  </si>
  <si>
    <t>Resource supply</t>
  </si>
  <si>
    <t>From above: # required of each personnel type (round up to nearest integer)</t>
  </si>
  <si>
    <t>Annual Expense</t>
  </si>
  <si>
    <t>From above: Total office expenses</t>
  </si>
  <si>
    <t>Minutes available</t>
  </si>
  <si>
    <t>From above: Minutes supplied</t>
  </si>
  <si>
    <t>Question 3</t>
  </si>
  <si>
    <t>Question 2</t>
  </si>
  <si>
    <t>Summary of Plastic Surgery Office Resources and Costs</t>
  </si>
  <si>
    <t>Annual Cost</t>
  </si>
  <si>
    <t>Annual Minutes</t>
  </si>
  <si>
    <t>Cost per minute</t>
  </si>
  <si>
    <t>From above: Capacity cost rate ($ per minute)</t>
  </si>
  <si>
    <t>Per person</t>
  </si>
  <si>
    <t>From above: Clinical minutes available per year</t>
  </si>
  <si>
    <t>Personnel process times (minutes)</t>
  </si>
  <si>
    <t>Annual expense</t>
  </si>
  <si>
    <t>From</t>
  </si>
  <si>
    <t xml:space="preserve">Process times (minutes) </t>
  </si>
  <si>
    <t>To</t>
  </si>
  <si>
    <t>As before</t>
  </si>
  <si>
    <t>The overall cost of the visit goes down</t>
  </si>
  <si>
    <t>We only need the surgeon 10 minutes</t>
  </si>
  <si>
    <t>The nurse spends more time - 16 minutes more</t>
  </si>
  <si>
    <t>New resource supply</t>
  </si>
  <si>
    <t>Estimate demand for surgical office time: 10 minutes x 5 400 visits + 22 minutes x 2 000 visits + 40 minutes x 800 visits</t>
  </si>
  <si>
    <t># FTEs required (minutes demanded/minutes per FTE)</t>
  </si>
  <si>
    <t>Minutes demanded / Annual minutes per person (FTE = Full Time Equivalent)</t>
  </si>
  <si>
    <r>
      <t xml:space="preserve">We do not need 3 full time nurses for this workload. We can reassign other nurses. </t>
    </r>
    <r>
      <rPr>
        <u val="singleAccounting"/>
        <sz val="12"/>
        <color theme="1"/>
        <rFont val="Calibri (Body)"/>
      </rPr>
      <t>This enables us to predict annual resource utilization</t>
    </r>
    <r>
      <rPr>
        <sz val="12"/>
        <color theme="1"/>
        <rFont val="Calibri"/>
        <family val="2"/>
        <scheme val="minor"/>
      </rPr>
      <t>.</t>
    </r>
  </si>
  <si>
    <r>
      <t>Question 4</t>
    </r>
    <r>
      <rPr>
        <b/>
        <sz val="12"/>
        <color theme="4"/>
        <rFont val="Calibri (Body)"/>
      </rPr>
      <t>:</t>
    </r>
    <r>
      <rPr>
        <sz val="12"/>
        <color theme="4"/>
        <rFont val="Calibri (Body)"/>
      </rPr>
      <t xml:space="preserve"> Resource capacity management</t>
    </r>
  </si>
  <si>
    <t># required of each personnel type (round up to nearest .50)</t>
  </si>
  <si>
    <t># required of each personnel type (rounded up to nearest 0.50) x Clinical minutes available per year</t>
  </si>
  <si>
    <t>Savings</t>
  </si>
  <si>
    <t>Total office expenses after the process improvement - Total office expenses</t>
  </si>
  <si>
    <t>We handle the same volume and mix of patients while spending $ 127 000 less on office visits.</t>
  </si>
  <si>
    <t>Surgeons time released could be used for surgeries - neoplasms, craniosynostosis - which likely are compensated much better.</t>
  </si>
  <si>
    <t>Given the prices between surgeons and nurses, the cost goes down.</t>
  </si>
  <si>
    <t>(This is an example of an allocative efficiency improvement)</t>
  </si>
  <si>
    <t>We have 0.50 fewer surgeon and 1 nurse more</t>
  </si>
  <si>
    <r>
      <t xml:space="preserve">Suppose we can have the RN perform some of the Pagiocephaly exam instead of the surgeon. </t>
    </r>
    <r>
      <rPr>
        <sz val="12"/>
        <color rgb="FFFF0000"/>
        <rFont val="Calibri (Body)"/>
      </rPr>
      <t>There was a process improvement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Body)"/>
      </rPr>
      <t>which requires 1 more RN, but saves 0.50 FTE surgeon.</t>
    </r>
  </si>
  <si>
    <r>
      <t xml:space="preserve">Why would we care about costs since they are fixed costs? </t>
    </r>
    <r>
      <rPr>
        <sz val="12"/>
        <color theme="1"/>
        <rFont val="Calibri (Body)"/>
      </rPr>
      <t>Costs may be fixed (...) but not supplies</t>
    </r>
  </si>
  <si>
    <t>(Lean? We do not see the effect of lean when the same people come and get paid)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</si>
</sst>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_);_(@_)"/>
    <numFmt numFmtId="169" formatCode="_(* #,##0.0_);_(* \(#,##0.0\);_(* &quot;-&quot;??_);_(@_)"/>
    <numFmt numFmtId="170" formatCode="_(&quot;$&quot;* #,##0_);_(&quot;$&quot;* \(#,##0\);_(&quot;$&quot;* &quot;-&quot;??_);_(@_)"/>
    <numFmt numFmtId="171" formatCode="0.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u/>
      <sz val="12"/>
      <color theme="1"/>
      <name val="Calibri"/>
      <family val="2"/>
      <scheme val="minor"/>
    </font>
    <font>
      <u val="singleAccounting"/>
      <sz val="12"/>
      <color theme="1"/>
      <name val="Calibri (Body)"/>
    </font>
    <font>
      <b/>
      <u/>
      <sz val="12"/>
      <color theme="4"/>
      <name val="Calibri"/>
      <family val="2"/>
      <scheme val="minor"/>
    </font>
    <font>
      <sz val="12"/>
      <color rgb="FFFF0000"/>
      <name val="Calibri (Body)"/>
    </font>
    <font>
      <b/>
      <sz val="12"/>
      <color theme="4"/>
      <name val="Calibri (Body)"/>
    </font>
    <font>
      <sz val="12"/>
      <color theme="4"/>
      <name val="Calibri (Body)"/>
    </font>
    <font>
      <sz val="12"/>
      <color theme="1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7" fillId="0" borderId="0" xfId="0" applyFont="1" applyFill="1"/>
    <xf numFmtId="0" fontId="8" fillId="0" borderId="0" xfId="0" applyFont="1"/>
    <xf numFmtId="167" fontId="9" fillId="0" borderId="0" xfId="1" applyNumberFormat="1" applyFont="1"/>
    <xf numFmtId="0" fontId="9" fillId="0" borderId="0" xfId="0" applyFont="1"/>
    <xf numFmtId="170" fontId="9" fillId="0" borderId="0" xfId="2" applyNumberFormat="1" applyFont="1"/>
    <xf numFmtId="169" fontId="9" fillId="0" borderId="0" xfId="1" applyNumberFormat="1" applyFont="1"/>
    <xf numFmtId="166" fontId="9" fillId="0" borderId="0" xfId="1" applyFont="1"/>
    <xf numFmtId="0" fontId="7" fillId="0" borderId="0" xfId="0" applyFont="1"/>
    <xf numFmtId="0" fontId="11" fillId="0" borderId="0" xfId="0" applyFont="1"/>
    <xf numFmtId="167" fontId="8" fillId="0" borderId="0" xfId="1" applyNumberFormat="1" applyFont="1" applyFill="1" applyAlignment="1">
      <alignment horizontal="left"/>
    </xf>
    <xf numFmtId="167" fontId="8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12" fillId="0" borderId="0" xfId="0" applyFont="1" applyBorder="1"/>
    <xf numFmtId="169" fontId="10" fillId="0" borderId="0" xfId="1" applyNumberFormat="1" applyFont="1"/>
    <xf numFmtId="9" fontId="9" fillId="0" borderId="0" xfId="3" applyFont="1"/>
    <xf numFmtId="165" fontId="9" fillId="2" borderId="0" xfId="2" applyFont="1" applyFill="1"/>
    <xf numFmtId="167" fontId="8" fillId="0" borderId="0" xfId="1" applyNumberFormat="1" applyFont="1"/>
    <xf numFmtId="165" fontId="8" fillId="0" borderId="0" xfId="2" applyFont="1" applyFill="1"/>
    <xf numFmtId="165" fontId="8" fillId="0" borderId="0" xfId="2" applyFont="1"/>
    <xf numFmtId="0" fontId="9" fillId="0" borderId="0" xfId="0" applyFont="1" applyAlignment="1">
      <alignment horizontal="center" wrapText="1"/>
    </xf>
    <xf numFmtId="170" fontId="9" fillId="2" borderId="0" xfId="0" applyNumberFormat="1" applyFont="1" applyFill="1"/>
    <xf numFmtId="166" fontId="9" fillId="2" borderId="0" xfId="1" applyFont="1" applyFill="1"/>
    <xf numFmtId="165" fontId="9" fillId="2" borderId="1" xfId="0" applyNumberFormat="1" applyFont="1" applyFill="1" applyBorder="1"/>
    <xf numFmtId="165" fontId="9" fillId="2" borderId="2" xfId="0" applyNumberFormat="1" applyFont="1" applyFill="1" applyBorder="1"/>
    <xf numFmtId="165" fontId="9" fillId="2" borderId="3" xfId="0" applyNumberFormat="1" applyFont="1" applyFill="1" applyBorder="1"/>
    <xf numFmtId="9" fontId="9" fillId="2" borderId="0" xfId="3" applyNumberFormat="1" applyFont="1" applyFill="1"/>
    <xf numFmtId="9" fontId="9" fillId="0" borderId="0" xfId="3" applyNumberFormat="1" applyFont="1" applyFill="1"/>
    <xf numFmtId="3" fontId="9" fillId="2" borderId="0" xfId="2" applyNumberFormat="1" applyFont="1" applyFill="1"/>
    <xf numFmtId="167" fontId="4" fillId="0" borderId="0" xfId="1" applyNumberFormat="1" applyFont="1"/>
    <xf numFmtId="169" fontId="4" fillId="0" borderId="0" xfId="1" applyNumberFormat="1" applyFont="1"/>
    <xf numFmtId="170" fontId="4" fillId="0" borderId="0" xfId="2" applyNumberFormat="1" applyFont="1"/>
    <xf numFmtId="167" fontId="9" fillId="3" borderId="0" xfId="1" applyNumberFormat="1" applyFont="1" applyFill="1"/>
    <xf numFmtId="0" fontId="9" fillId="3" borderId="0" xfId="0" applyFont="1" applyFill="1"/>
    <xf numFmtId="167" fontId="10" fillId="3" borderId="0" xfId="1" applyNumberFormat="1" applyFont="1" applyFill="1"/>
    <xf numFmtId="169" fontId="10" fillId="3" borderId="0" xfId="1" applyNumberFormat="1" applyFont="1" applyFill="1"/>
    <xf numFmtId="169" fontId="9" fillId="3" borderId="0" xfId="1" applyNumberFormat="1" applyFont="1" applyFill="1"/>
    <xf numFmtId="9" fontId="9" fillId="3" borderId="0" xfId="3" applyFont="1" applyFill="1"/>
    <xf numFmtId="168" fontId="4" fillId="3" borderId="0" xfId="0" applyNumberFormat="1" applyFont="1" applyFill="1"/>
    <xf numFmtId="0" fontId="4" fillId="4" borderId="0" xfId="0" applyFont="1" applyFill="1"/>
    <xf numFmtId="170" fontId="9" fillId="4" borderId="0" xfId="2" applyNumberFormat="1" applyFont="1" applyFill="1"/>
    <xf numFmtId="167" fontId="9" fillId="5" borderId="0" xfId="1" applyNumberFormat="1" applyFont="1" applyFill="1"/>
    <xf numFmtId="0" fontId="9" fillId="5" borderId="0" xfId="0" applyFont="1" applyFill="1"/>
    <xf numFmtId="167" fontId="8" fillId="5" borderId="0" xfId="1" applyNumberFormat="1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170" fontId="4" fillId="5" borderId="0" xfId="2" applyNumberFormat="1" applyFont="1" applyFill="1"/>
    <xf numFmtId="170" fontId="9" fillId="0" borderId="0" xfId="2" applyNumberFormat="1" applyFont="1" applyFill="1"/>
    <xf numFmtId="170" fontId="4" fillId="0" borderId="0" xfId="2" applyNumberFormat="1" applyFont="1" applyFill="1"/>
    <xf numFmtId="9" fontId="4" fillId="0" borderId="0" xfId="3" applyFont="1"/>
    <xf numFmtId="170" fontId="9" fillId="6" borderId="0" xfId="2" applyNumberFormat="1" applyFont="1" applyFill="1"/>
    <xf numFmtId="9" fontId="4" fillId="6" borderId="0" xfId="3" applyFont="1" applyFill="1"/>
    <xf numFmtId="0" fontId="8" fillId="6" borderId="0" xfId="0" applyFont="1" applyFill="1"/>
    <xf numFmtId="166" fontId="9" fillId="7" borderId="0" xfId="1" applyFont="1" applyFill="1"/>
    <xf numFmtId="0" fontId="4" fillId="0" borderId="0" xfId="0" applyFont="1" applyAlignment="1">
      <alignment wrapText="1" shrinkToFit="1"/>
    </xf>
    <xf numFmtId="0" fontId="4" fillId="7" borderId="0" xfId="0" applyFont="1" applyFill="1" applyAlignment="1">
      <alignment wrapText="1"/>
    </xf>
    <xf numFmtId="0" fontId="9" fillId="0" borderId="0" xfId="0" applyFont="1" applyFill="1"/>
    <xf numFmtId="0" fontId="4" fillId="0" borderId="0" xfId="0" applyFont="1" applyAlignment="1">
      <alignment vertical="center"/>
    </xf>
    <xf numFmtId="167" fontId="9" fillId="5" borderId="0" xfId="0" applyNumberFormat="1" applyFont="1" applyFill="1"/>
    <xf numFmtId="169" fontId="9" fillId="5" borderId="0" xfId="0" applyNumberFormat="1" applyFont="1" applyFill="1"/>
    <xf numFmtId="165" fontId="8" fillId="8" borderId="0" xfId="2" applyFont="1" applyFill="1"/>
    <xf numFmtId="167" fontId="9" fillId="8" borderId="0" xfId="1" applyNumberFormat="1" applyFont="1" applyFill="1"/>
    <xf numFmtId="0" fontId="3" fillId="0" borderId="0" xfId="0" applyFont="1"/>
    <xf numFmtId="0" fontId="3" fillId="8" borderId="0" xfId="0" applyFont="1" applyFill="1"/>
    <xf numFmtId="0" fontId="9" fillId="8" borderId="0" xfId="0" applyFont="1" applyFill="1"/>
    <xf numFmtId="165" fontId="9" fillId="2" borderId="4" xfId="2" applyFont="1" applyFill="1" applyBorder="1"/>
    <xf numFmtId="165" fontId="3" fillId="0" borderId="0" xfId="2" applyFont="1"/>
    <xf numFmtId="165" fontId="3" fillId="9" borderId="5" xfId="2" applyFont="1" applyFill="1" applyBorder="1"/>
    <xf numFmtId="0" fontId="9" fillId="9" borderId="6" xfId="0" applyFont="1" applyFill="1" applyBorder="1"/>
    <xf numFmtId="0" fontId="9" fillId="9" borderId="7" xfId="0" applyFont="1" applyFill="1" applyBorder="1"/>
    <xf numFmtId="3" fontId="9" fillId="2" borderId="4" xfId="2" applyNumberFormat="1" applyFont="1" applyFill="1" applyBorder="1"/>
    <xf numFmtId="2" fontId="9" fillId="2" borderId="0" xfId="2" applyNumberFormat="1" applyFont="1" applyFill="1"/>
    <xf numFmtId="1" fontId="9" fillId="2" borderId="0" xfId="2" applyNumberFormat="1" applyFont="1" applyFill="1"/>
    <xf numFmtId="9" fontId="9" fillId="2" borderId="0" xfId="2" applyNumberFormat="1" applyFont="1" applyFill="1"/>
    <xf numFmtId="170" fontId="9" fillId="9" borderId="0" xfId="2" applyNumberFormat="1" applyFont="1" applyFill="1"/>
    <xf numFmtId="170" fontId="9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170" fontId="9" fillId="0" borderId="0" xfId="2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170" fontId="9" fillId="0" borderId="0" xfId="0" applyNumberFormat="1" applyFont="1" applyAlignment="1">
      <alignment vertical="center"/>
    </xf>
    <xf numFmtId="167" fontId="8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0" fontId="3" fillId="0" borderId="0" xfId="0" applyNumberFormat="1" applyFont="1" applyBorder="1"/>
    <xf numFmtId="0" fontId="14" fillId="0" borderId="0" xfId="0" applyFont="1"/>
    <xf numFmtId="0" fontId="8" fillId="0" borderId="8" xfId="0" applyFont="1" applyBorder="1"/>
    <xf numFmtId="0" fontId="7" fillId="0" borderId="9" xfId="0" applyFont="1" applyBorder="1"/>
    <xf numFmtId="9" fontId="9" fillId="0" borderId="9" xfId="3" applyFont="1" applyBorder="1"/>
    <xf numFmtId="0" fontId="8" fillId="0" borderId="9" xfId="0" applyFont="1" applyBorder="1"/>
    <xf numFmtId="165" fontId="8" fillId="0" borderId="9" xfId="2" applyFont="1" applyBorder="1"/>
    <xf numFmtId="0" fontId="9" fillId="0" borderId="9" xfId="0" applyFont="1" applyBorder="1"/>
    <xf numFmtId="0" fontId="9" fillId="0" borderId="10" xfId="0" applyFont="1" applyBorder="1"/>
    <xf numFmtId="0" fontId="7" fillId="0" borderId="11" xfId="0" applyFont="1" applyBorder="1"/>
    <xf numFmtId="0" fontId="7" fillId="0" borderId="0" xfId="0" applyFont="1" applyBorder="1"/>
    <xf numFmtId="9" fontId="9" fillId="0" borderId="0" xfId="3" applyFont="1" applyBorder="1"/>
    <xf numFmtId="0" fontId="8" fillId="0" borderId="0" xfId="0" applyFont="1" applyBorder="1"/>
    <xf numFmtId="165" fontId="8" fillId="0" borderId="0" xfId="2" applyFont="1" applyBorder="1"/>
    <xf numFmtId="0" fontId="9" fillId="0" borderId="0" xfId="0" applyFont="1" applyBorder="1"/>
    <xf numFmtId="0" fontId="9" fillId="0" borderId="12" xfId="0" applyFont="1" applyBorder="1"/>
    <xf numFmtId="0" fontId="3" fillId="0" borderId="11" xfId="0" applyFont="1" applyBorder="1"/>
    <xf numFmtId="167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70" fontId="9" fillId="4" borderId="0" xfId="2" applyNumberFormat="1" applyFont="1" applyFill="1" applyBorder="1"/>
    <xf numFmtId="0" fontId="4" fillId="4" borderId="0" xfId="0" applyFont="1" applyFill="1" applyBorder="1"/>
    <xf numFmtId="3" fontId="3" fillId="0" borderId="0" xfId="0" applyNumberFormat="1" applyFont="1" applyBorder="1"/>
    <xf numFmtId="0" fontId="6" fillId="0" borderId="0" xfId="0" applyFont="1" applyBorder="1"/>
    <xf numFmtId="165" fontId="3" fillId="0" borderId="0" xfId="2" applyFont="1" applyBorder="1"/>
    <xf numFmtId="0" fontId="3" fillId="0" borderId="0" xfId="0" applyFont="1" applyBorder="1"/>
    <xf numFmtId="165" fontId="3" fillId="0" borderId="0" xfId="0" applyNumberFormat="1" applyFont="1" applyBorder="1"/>
    <xf numFmtId="167" fontId="8" fillId="0" borderId="11" xfId="1" applyNumberFormat="1" applyFont="1" applyFill="1" applyBorder="1" applyAlignment="1">
      <alignment horizontal="left"/>
    </xf>
    <xf numFmtId="170" fontId="3" fillId="0" borderId="0" xfId="2" applyNumberFormat="1" applyFont="1" applyFill="1" applyBorder="1"/>
    <xf numFmtId="0" fontId="9" fillId="0" borderId="0" xfId="0" applyFont="1" applyFill="1" applyBorder="1"/>
    <xf numFmtId="0" fontId="8" fillId="0" borderId="12" xfId="0" applyFont="1" applyFill="1" applyBorder="1" applyAlignment="1">
      <alignment horizontal="center" wrapText="1"/>
    </xf>
    <xf numFmtId="0" fontId="9" fillId="0" borderId="11" xfId="0" applyFont="1" applyBorder="1"/>
    <xf numFmtId="167" fontId="9" fillId="5" borderId="0" xfId="1" applyNumberFormat="1" applyFont="1" applyFill="1" applyBorder="1"/>
    <xf numFmtId="0" fontId="9" fillId="5" borderId="0" xfId="0" applyFont="1" applyFill="1" applyBorder="1"/>
    <xf numFmtId="165" fontId="9" fillId="2" borderId="0" xfId="2" applyFont="1" applyFill="1" applyBorder="1"/>
    <xf numFmtId="170" fontId="4" fillId="0" borderId="0" xfId="2" applyNumberFormat="1" applyFont="1" applyFill="1" applyBorder="1"/>
    <xf numFmtId="0" fontId="9" fillId="0" borderId="12" xfId="0" applyFont="1" applyFill="1" applyBorder="1"/>
    <xf numFmtId="1" fontId="3" fillId="0" borderId="0" xfId="0" applyNumberFormat="1" applyFont="1" applyBorder="1"/>
    <xf numFmtId="0" fontId="3" fillId="0" borderId="13" xfId="0" applyFont="1" applyBorder="1"/>
    <xf numFmtId="170" fontId="3" fillId="0" borderId="14" xfId="0" applyNumberFormat="1" applyFont="1" applyBorder="1"/>
    <xf numFmtId="165" fontId="3" fillId="0" borderId="14" xfId="2" applyFont="1" applyBorder="1"/>
    <xf numFmtId="0" fontId="3" fillId="0" borderId="14" xfId="0" applyFont="1" applyBorder="1"/>
    <xf numFmtId="0" fontId="9" fillId="0" borderId="14" xfId="0" applyFont="1" applyBorder="1"/>
    <xf numFmtId="0" fontId="9" fillId="0" borderId="15" xfId="0" applyFont="1" applyBorder="1"/>
    <xf numFmtId="167" fontId="7" fillId="11" borderId="0" xfId="1" applyNumberFormat="1" applyFont="1" applyFill="1" applyBorder="1"/>
    <xf numFmtId="0" fontId="7" fillId="11" borderId="0" xfId="0" applyFont="1" applyFill="1" applyBorder="1"/>
    <xf numFmtId="165" fontId="3" fillId="0" borderId="0" xfId="2" applyFont="1" applyFill="1"/>
    <xf numFmtId="165" fontId="3" fillId="3" borderId="0" xfId="2" applyFont="1" applyFill="1" applyAlignment="1">
      <alignment vertical="center" wrapText="1"/>
    </xf>
    <xf numFmtId="165" fontId="3" fillId="0" borderId="0" xfId="2" applyFont="1" applyFill="1" applyAlignment="1">
      <alignment vertical="center" wrapText="1"/>
    </xf>
    <xf numFmtId="0" fontId="11" fillId="0" borderId="0" xfId="0" applyFont="1" applyFill="1"/>
    <xf numFmtId="0" fontId="6" fillId="0" borderId="0" xfId="0" applyFont="1" applyFill="1"/>
    <xf numFmtId="171" fontId="9" fillId="2" borderId="0" xfId="2" applyNumberFormat="1" applyFont="1" applyFill="1" applyAlignment="1">
      <alignment vertical="center"/>
    </xf>
    <xf numFmtId="171" fontId="9" fillId="10" borderId="0" xfId="2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7" fillId="2" borderId="0" xfId="2" applyNumberFormat="1" applyFont="1" applyFill="1"/>
    <xf numFmtId="165" fontId="7" fillId="0" borderId="0" xfId="2" applyFont="1"/>
    <xf numFmtId="164" fontId="7" fillId="0" borderId="0" xfId="0" applyNumberFormat="1" applyFont="1"/>
    <xf numFmtId="0" fontId="2" fillId="0" borderId="0" xfId="0" applyFont="1"/>
  </cellXfs>
  <cellStyles count="4">
    <cellStyle name="Moeda" xfId="2" builtinId="4"/>
    <cellStyle name="Normal" xfId="0" builtinId="0"/>
    <cellStyle name="Percentagem" xfId="3" builtinId="5"/>
    <cellStyle name="Vírgula" xfId="1" builtinId="3"/>
  </cellStyles>
  <dxfs count="0"/>
  <tableStyles count="0" defaultTableStyle="TableStyleMedium2" defaultPivotStyle="PivotStyleLight16"/>
  <colors>
    <mruColors>
      <color rgb="FFFFFD78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6"/>
  <sheetViews>
    <sheetView tabSelected="1" zoomScale="80" zoomScaleNormal="80" workbookViewId="0">
      <selection sqref="A1:M126"/>
    </sheetView>
  </sheetViews>
  <sheetFormatPr baseColWidth="10" defaultColWidth="9.1640625" defaultRowHeight="19"/>
  <cols>
    <col min="1" max="1" width="68.33203125" style="5" customWidth="1"/>
    <col min="2" max="2" width="19" style="5" customWidth="1"/>
    <col min="3" max="3" width="23.33203125" style="5" bestFit="1" customWidth="1"/>
    <col min="4" max="4" width="12.83203125" style="5" bestFit="1" customWidth="1"/>
    <col min="5" max="5" width="15.33203125" style="5" bestFit="1" customWidth="1"/>
    <col min="6" max="6" width="14.5" style="5" customWidth="1"/>
    <col min="7" max="7" width="14.33203125" style="5" bestFit="1" customWidth="1"/>
    <col min="8" max="8" width="19.33203125" style="5" customWidth="1"/>
    <col min="9" max="9" width="16" style="5" customWidth="1"/>
    <col min="10" max="10" width="12.5" style="5" bestFit="1" customWidth="1"/>
    <col min="11" max="11" width="10.83203125" style="5" customWidth="1"/>
    <col min="12" max="13" width="9.1640625" style="5"/>
    <col min="14" max="14" width="9.1640625" style="10"/>
    <col min="15" max="16384" width="9.1640625" style="1"/>
  </cols>
  <sheetData>
    <row r="1" spans="1:10">
      <c r="A1" s="3" t="s">
        <v>5</v>
      </c>
    </row>
    <row r="2" spans="1:10">
      <c r="A2" s="2" t="s">
        <v>4</v>
      </c>
    </row>
    <row r="3" spans="1:10">
      <c r="A3" s="2"/>
    </row>
    <row r="4" spans="1:10">
      <c r="A4" s="86" t="s">
        <v>75</v>
      </c>
    </row>
    <row r="5" spans="1:10">
      <c r="A5" s="3"/>
    </row>
    <row r="6" spans="1:10" ht="28.5" customHeight="1">
      <c r="A6" s="11" t="s">
        <v>6</v>
      </c>
      <c r="B6" s="12" t="s">
        <v>3</v>
      </c>
      <c r="C6" s="13" t="s">
        <v>0</v>
      </c>
      <c r="D6" s="13" t="s">
        <v>1</v>
      </c>
      <c r="E6" s="13" t="s">
        <v>2</v>
      </c>
    </row>
    <row r="7" spans="1:10">
      <c r="A7" s="5" t="s">
        <v>7</v>
      </c>
      <c r="B7" s="33">
        <v>52</v>
      </c>
      <c r="C7" s="34">
        <v>52</v>
      </c>
      <c r="D7" s="34">
        <v>52</v>
      </c>
      <c r="E7" s="34">
        <v>52</v>
      </c>
      <c r="F7" s="39" t="s">
        <v>46</v>
      </c>
      <c r="G7" s="62" t="s">
        <v>57</v>
      </c>
    </row>
    <row r="8" spans="1:10" ht="20">
      <c r="A8" s="5" t="s">
        <v>8</v>
      </c>
      <c r="B8" s="35">
        <v>6</v>
      </c>
      <c r="C8" s="35">
        <v>4</v>
      </c>
      <c r="D8" s="35">
        <v>4</v>
      </c>
      <c r="E8" s="35">
        <v>4</v>
      </c>
    </row>
    <row r="9" spans="1:10" ht="20">
      <c r="A9" s="5" t="s">
        <v>9</v>
      </c>
      <c r="B9" s="35">
        <v>2</v>
      </c>
      <c r="C9" s="35">
        <v>2</v>
      </c>
      <c r="D9" s="35">
        <v>2</v>
      </c>
      <c r="E9" s="35">
        <v>2</v>
      </c>
      <c r="F9" s="14"/>
    </row>
    <row r="10" spans="1:10">
      <c r="A10" s="5" t="s">
        <v>10</v>
      </c>
      <c r="B10" s="33">
        <v>44</v>
      </c>
      <c r="C10" s="33">
        <v>46</v>
      </c>
      <c r="D10" s="33">
        <v>46</v>
      </c>
      <c r="E10" s="33">
        <v>46</v>
      </c>
      <c r="F10" s="14"/>
    </row>
    <row r="11" spans="1:10">
      <c r="A11" s="5" t="s">
        <v>11</v>
      </c>
      <c r="B11" s="33">
        <v>10</v>
      </c>
      <c r="C11" s="34">
        <v>8</v>
      </c>
      <c r="D11" s="34">
        <v>8</v>
      </c>
      <c r="E11" s="34">
        <v>8</v>
      </c>
      <c r="F11" s="4"/>
    </row>
    <row r="12" spans="1:10" ht="20">
      <c r="A12" s="5" t="s">
        <v>12</v>
      </c>
      <c r="B12" s="36">
        <v>1.2</v>
      </c>
      <c r="C12" s="36">
        <v>1.5</v>
      </c>
      <c r="D12" s="36">
        <v>1.5</v>
      </c>
      <c r="E12" s="36">
        <v>1.5</v>
      </c>
      <c r="J12" s="9"/>
    </row>
    <row r="13" spans="1:10" ht="20">
      <c r="A13" s="5" t="s">
        <v>13</v>
      </c>
      <c r="B13" s="37">
        <v>8.8000000000000007</v>
      </c>
      <c r="C13" s="37">
        <v>6.5</v>
      </c>
      <c r="D13" s="37">
        <v>6.5</v>
      </c>
      <c r="E13" s="37">
        <v>6.5</v>
      </c>
      <c r="F13" s="15"/>
    </row>
    <row r="14" spans="1:10">
      <c r="A14" s="5" t="s">
        <v>14</v>
      </c>
      <c r="B14" s="38">
        <v>0.25</v>
      </c>
      <c r="C14" s="38">
        <v>0</v>
      </c>
      <c r="D14" s="38">
        <v>0</v>
      </c>
      <c r="E14" s="38">
        <v>0</v>
      </c>
      <c r="F14" s="7"/>
    </row>
    <row r="15" spans="1:10">
      <c r="A15" s="5" t="s">
        <v>15</v>
      </c>
      <c r="B15" s="37">
        <v>6.6000000000000005</v>
      </c>
      <c r="C15" s="37">
        <v>6.5</v>
      </c>
      <c r="D15" s="37">
        <v>6.5</v>
      </c>
      <c r="E15" s="37">
        <v>6.5</v>
      </c>
      <c r="F15" s="16"/>
    </row>
    <row r="16" spans="1:10">
      <c r="A16" s="5" t="s">
        <v>16</v>
      </c>
      <c r="B16" s="29">
        <f t="shared" ref="B16:E16" si="0">B15*60</f>
        <v>396.00000000000006</v>
      </c>
      <c r="C16" s="29">
        <f>C15*60</f>
        <v>390</v>
      </c>
      <c r="D16" s="29">
        <f t="shared" si="0"/>
        <v>390</v>
      </c>
      <c r="E16" s="29">
        <f t="shared" si="0"/>
        <v>390</v>
      </c>
      <c r="F16" s="31" t="s">
        <v>44</v>
      </c>
      <c r="G16" s="7"/>
      <c r="H16" s="7"/>
      <c r="I16" s="7"/>
    </row>
    <row r="17" spans="1:11">
      <c r="A17" s="3" t="s">
        <v>17</v>
      </c>
      <c r="B17" s="29">
        <f>B16*B10*5</f>
        <v>87120.000000000015</v>
      </c>
      <c r="C17" s="29">
        <f t="shared" ref="C17:E17" si="1">C16*C10*5</f>
        <v>89700</v>
      </c>
      <c r="D17" s="29">
        <f t="shared" si="1"/>
        <v>89700</v>
      </c>
      <c r="E17" s="29">
        <f t="shared" si="1"/>
        <v>89700</v>
      </c>
      <c r="F17" s="30" t="s">
        <v>43</v>
      </c>
    </row>
    <row r="18" spans="1:11">
      <c r="B18" s="8"/>
      <c r="F18" s="18"/>
    </row>
    <row r="19" spans="1:11">
      <c r="A19" s="5" t="s">
        <v>18</v>
      </c>
      <c r="B19" s="41">
        <v>522720</v>
      </c>
      <c r="C19" s="41">
        <v>89700</v>
      </c>
      <c r="D19" s="41">
        <v>134550</v>
      </c>
      <c r="E19" s="41">
        <v>71760</v>
      </c>
      <c r="F19" s="40" t="s">
        <v>47</v>
      </c>
    </row>
    <row r="20" spans="1:11">
      <c r="A20" s="3" t="s">
        <v>19</v>
      </c>
      <c r="B20" s="17">
        <f>B19/B17</f>
        <v>5.9999999999999991</v>
      </c>
      <c r="C20" s="17">
        <f t="shared" ref="C20:E20" si="2">C19/C17</f>
        <v>1</v>
      </c>
      <c r="D20" s="17">
        <f t="shared" si="2"/>
        <v>1.5</v>
      </c>
      <c r="E20" s="17">
        <f t="shared" si="2"/>
        <v>0.8</v>
      </c>
      <c r="F20" s="32" t="s">
        <v>45</v>
      </c>
    </row>
    <row r="21" spans="1:11">
      <c r="A21" s="3"/>
      <c r="B21" s="19"/>
      <c r="C21" s="20"/>
      <c r="D21" s="20"/>
      <c r="E21" s="20"/>
      <c r="F21" s="6"/>
    </row>
    <row r="22" spans="1:11">
      <c r="A22" s="11" t="s">
        <v>83</v>
      </c>
      <c r="B22" s="3"/>
      <c r="C22" s="3"/>
      <c r="D22" s="3"/>
      <c r="E22" s="3"/>
      <c r="F22" s="47"/>
      <c r="G22" s="43"/>
      <c r="H22" s="44" t="s">
        <v>3</v>
      </c>
      <c r="I22" s="45" t="s">
        <v>0</v>
      </c>
      <c r="J22" s="45" t="s">
        <v>1</v>
      </c>
      <c r="K22" s="45" t="s">
        <v>2</v>
      </c>
    </row>
    <row r="23" spans="1:11">
      <c r="A23" s="5" t="s">
        <v>20</v>
      </c>
      <c r="B23" s="42">
        <v>18</v>
      </c>
      <c r="C23" s="43">
        <v>8</v>
      </c>
      <c r="D23" s="43">
        <v>23</v>
      </c>
      <c r="E23" s="42">
        <v>5</v>
      </c>
      <c r="F23" s="48"/>
      <c r="G23" s="46" t="s">
        <v>48</v>
      </c>
      <c r="H23" s="43">
        <v>18</v>
      </c>
      <c r="I23" s="43">
        <f>3+5</f>
        <v>8</v>
      </c>
      <c r="J23" s="43">
        <f>20+3</f>
        <v>23</v>
      </c>
      <c r="K23" s="43">
        <v>5</v>
      </c>
    </row>
    <row r="24" spans="1:11">
      <c r="A24" s="5" t="s">
        <v>21</v>
      </c>
      <c r="B24" s="42">
        <v>22</v>
      </c>
      <c r="C24" s="43">
        <v>55.5</v>
      </c>
      <c r="D24" s="43">
        <v>20</v>
      </c>
      <c r="E24" s="42">
        <v>5</v>
      </c>
      <c r="F24" s="47"/>
      <c r="G24" s="43"/>
      <c r="H24" s="43">
        <v>22</v>
      </c>
      <c r="I24" s="43">
        <f>6+25.5+19+5</f>
        <v>55.5</v>
      </c>
      <c r="J24" s="43">
        <v>20</v>
      </c>
      <c r="K24" s="43">
        <v>5</v>
      </c>
    </row>
    <row r="25" spans="1:11">
      <c r="A25" s="5" t="s">
        <v>22</v>
      </c>
      <c r="B25" s="42">
        <v>40</v>
      </c>
      <c r="C25" s="43">
        <v>10.5</v>
      </c>
      <c r="D25" s="43">
        <v>23</v>
      </c>
      <c r="E25" s="42">
        <v>10</v>
      </c>
      <c r="F25" s="47"/>
      <c r="G25" s="43"/>
      <c r="H25" s="43">
        <v>40</v>
      </c>
      <c r="I25" s="43">
        <f>3+2.5+5</f>
        <v>10.5</v>
      </c>
      <c r="J25" s="43">
        <f>20+3</f>
        <v>23</v>
      </c>
      <c r="K25" s="43">
        <f>5+5</f>
        <v>10</v>
      </c>
    </row>
    <row r="26" spans="1:11" ht="19.5" customHeight="1">
      <c r="A26" s="3"/>
      <c r="B26" s="3"/>
      <c r="C26" s="3"/>
      <c r="D26" s="3"/>
      <c r="E26" s="3"/>
      <c r="F26" s="6"/>
    </row>
    <row r="27" spans="1:11" ht="50.25" customHeight="1">
      <c r="A27" s="11" t="s">
        <v>23</v>
      </c>
      <c r="B27" s="12" t="s">
        <v>3</v>
      </c>
      <c r="C27" s="13" t="s">
        <v>0</v>
      </c>
      <c r="D27" s="13" t="s">
        <v>1</v>
      </c>
      <c r="E27" s="13" t="s">
        <v>2</v>
      </c>
      <c r="F27" s="5" t="s">
        <v>24</v>
      </c>
      <c r="G27" s="5" t="s">
        <v>25</v>
      </c>
      <c r="H27" s="21" t="s">
        <v>26</v>
      </c>
      <c r="I27" s="21" t="s">
        <v>27</v>
      </c>
      <c r="J27" s="21" t="s">
        <v>28</v>
      </c>
      <c r="K27" s="21" t="s">
        <v>29</v>
      </c>
    </row>
    <row r="28" spans="1:11">
      <c r="A28" s="5" t="s">
        <v>20</v>
      </c>
      <c r="B28" s="17">
        <f>B23*$B$20</f>
        <v>107.99999999999999</v>
      </c>
      <c r="C28" s="17">
        <f>C23*$C$20</f>
        <v>8</v>
      </c>
      <c r="D28" s="17">
        <f>D23*$D$20</f>
        <v>34.5</v>
      </c>
      <c r="E28" s="17">
        <f>E23*$E$20</f>
        <v>4</v>
      </c>
      <c r="F28" s="17">
        <f>B28+C28+D28+E28</f>
        <v>154.5</v>
      </c>
      <c r="G28" s="22">
        <v>350</v>
      </c>
      <c r="H28" s="23">
        <f>G28*0.64</f>
        <v>224</v>
      </c>
      <c r="I28" s="24">
        <f>H28-F28</f>
        <v>69.5</v>
      </c>
      <c r="J28" s="53">
        <f>G28*0.6</f>
        <v>210</v>
      </c>
      <c r="K28" s="24">
        <f>H28-J28</f>
        <v>14</v>
      </c>
    </row>
    <row r="29" spans="1:11">
      <c r="A29" s="5" t="s">
        <v>21</v>
      </c>
      <c r="B29" s="17">
        <f t="shared" ref="B29:B30" si="3">B24*$B$20</f>
        <v>131.99999999999997</v>
      </c>
      <c r="C29" s="17">
        <f t="shared" ref="C29:C30" si="4">C24*$C$20</f>
        <v>55.5</v>
      </c>
      <c r="D29" s="17">
        <f t="shared" ref="D29:D30" si="5">D24*$D$20</f>
        <v>30</v>
      </c>
      <c r="E29" s="17">
        <f t="shared" ref="E29:E30" si="6">E24*$E$20</f>
        <v>4</v>
      </c>
      <c r="F29" s="17">
        <f t="shared" ref="F29:F30" si="7">B29+C29+D29+E29</f>
        <v>221.49999999999997</v>
      </c>
      <c r="G29" s="22">
        <v>350</v>
      </c>
      <c r="H29" s="23">
        <f t="shared" ref="H29:H30" si="8">G29*0.64</f>
        <v>224</v>
      </c>
      <c r="I29" s="25">
        <f>H29-F29</f>
        <v>2.5000000000000284</v>
      </c>
      <c r="J29" s="53">
        <f t="shared" ref="J29:J30" si="9">G29*0.6</f>
        <v>210</v>
      </c>
      <c r="K29" s="25">
        <f t="shared" ref="K29:K30" si="10">H29-J29</f>
        <v>14</v>
      </c>
    </row>
    <row r="30" spans="1:11">
      <c r="A30" s="5" t="s">
        <v>22</v>
      </c>
      <c r="B30" s="17">
        <f t="shared" si="3"/>
        <v>239.99999999999997</v>
      </c>
      <c r="C30" s="17">
        <f t="shared" si="4"/>
        <v>10.5</v>
      </c>
      <c r="D30" s="17">
        <f t="shared" si="5"/>
        <v>34.5</v>
      </c>
      <c r="E30" s="17">
        <f t="shared" si="6"/>
        <v>8</v>
      </c>
      <c r="F30" s="17">
        <f t="shared" si="7"/>
        <v>293</v>
      </c>
      <c r="G30" s="22">
        <v>350</v>
      </c>
      <c r="H30" s="23">
        <f t="shared" si="8"/>
        <v>224</v>
      </c>
      <c r="I30" s="26">
        <f>H30-F30</f>
        <v>-69</v>
      </c>
      <c r="J30" s="53">
        <f t="shared" si="9"/>
        <v>210</v>
      </c>
      <c r="K30" s="26">
        <f t="shared" si="10"/>
        <v>14</v>
      </c>
    </row>
    <row r="31" spans="1:11" ht="70">
      <c r="A31" s="9"/>
      <c r="B31" s="57" t="s">
        <v>49</v>
      </c>
      <c r="C31" s="16"/>
      <c r="D31" s="3"/>
      <c r="E31" s="3"/>
      <c r="F31" s="20"/>
      <c r="I31" s="54" t="s">
        <v>52</v>
      </c>
      <c r="J31" s="55" t="s">
        <v>53</v>
      </c>
      <c r="K31" s="54" t="s">
        <v>54</v>
      </c>
    </row>
    <row r="32" spans="1:11">
      <c r="A32" s="9"/>
      <c r="C32" s="16"/>
      <c r="D32" s="3"/>
      <c r="E32" s="3"/>
      <c r="F32" s="20"/>
    </row>
    <row r="33" spans="1:16">
      <c r="A33" s="3" t="s">
        <v>30</v>
      </c>
      <c r="C33" s="16"/>
      <c r="D33" s="3"/>
      <c r="E33" s="3"/>
      <c r="F33" s="20"/>
      <c r="K33" s="56"/>
      <c r="L33" s="56"/>
    </row>
    <row r="34" spans="1:16">
      <c r="A34" s="5" t="s">
        <v>31</v>
      </c>
      <c r="B34" s="50">
        <v>12449500</v>
      </c>
      <c r="C34" s="51" t="s">
        <v>50</v>
      </c>
      <c r="D34" s="52"/>
      <c r="E34" s="3"/>
      <c r="F34" s="20"/>
    </row>
    <row r="35" spans="1:16">
      <c r="A35" s="5" t="s">
        <v>32</v>
      </c>
      <c r="B35" s="50">
        <v>7469700</v>
      </c>
      <c r="C35" s="16"/>
      <c r="D35" s="3"/>
      <c r="E35" s="3"/>
      <c r="F35" s="20"/>
    </row>
    <row r="36" spans="1:16">
      <c r="A36" s="5" t="s">
        <v>33</v>
      </c>
      <c r="B36" s="50">
        <v>7967680</v>
      </c>
      <c r="C36" s="16"/>
      <c r="D36" s="3"/>
      <c r="E36" s="3"/>
      <c r="F36" s="20"/>
    </row>
    <row r="37" spans="1:16">
      <c r="A37" s="5" t="s">
        <v>34</v>
      </c>
      <c r="B37" s="27">
        <f>B35/B34</f>
        <v>0.6</v>
      </c>
      <c r="C37" s="16"/>
      <c r="D37" s="3"/>
      <c r="E37" s="3"/>
      <c r="F37" s="20"/>
    </row>
    <row r="38" spans="1:16">
      <c r="A38" s="5" t="s">
        <v>35</v>
      </c>
      <c r="B38" s="28">
        <v>0.64</v>
      </c>
      <c r="C38" s="49" t="s">
        <v>51</v>
      </c>
      <c r="D38" s="3"/>
      <c r="E38" s="3"/>
      <c r="F38" s="20"/>
    </row>
    <row r="39" spans="1:16">
      <c r="A39" s="9"/>
      <c r="B39" s="9"/>
      <c r="C39" s="16"/>
      <c r="D39" s="3"/>
      <c r="E39" s="3"/>
      <c r="F39" s="20"/>
    </row>
    <row r="40" spans="1:16">
      <c r="A40" s="86" t="s">
        <v>74</v>
      </c>
      <c r="B40" s="9"/>
      <c r="C40" s="16"/>
      <c r="D40" s="3"/>
      <c r="E40" s="3"/>
      <c r="F40" s="20"/>
    </row>
    <row r="41" spans="1:16">
      <c r="A41" s="9"/>
      <c r="B41" s="9"/>
      <c r="C41" s="16"/>
      <c r="D41" s="3"/>
      <c r="E41" s="3"/>
      <c r="F41" s="20"/>
    </row>
    <row r="42" spans="1:16">
      <c r="A42" s="3"/>
      <c r="B42" s="12" t="s">
        <v>3</v>
      </c>
      <c r="C42" s="13" t="s">
        <v>0</v>
      </c>
      <c r="D42" s="13" t="s">
        <v>1</v>
      </c>
      <c r="E42" s="13" t="s">
        <v>2</v>
      </c>
      <c r="F42" s="60" t="s">
        <v>36</v>
      </c>
      <c r="G42" s="63" t="s">
        <v>55</v>
      </c>
      <c r="H42" s="64"/>
    </row>
    <row r="43" spans="1:16">
      <c r="A43" s="5" t="s">
        <v>20</v>
      </c>
      <c r="B43" s="58">
        <f t="shared" ref="B43:E45" si="11">B23</f>
        <v>18</v>
      </c>
      <c r="C43" s="58">
        <f t="shared" si="11"/>
        <v>8</v>
      </c>
      <c r="D43" s="58">
        <f t="shared" si="11"/>
        <v>23</v>
      </c>
      <c r="E43" s="58">
        <f t="shared" si="11"/>
        <v>5</v>
      </c>
      <c r="F43" s="61">
        <v>5400</v>
      </c>
    </row>
    <row r="44" spans="1:16">
      <c r="A44" s="5" t="s">
        <v>21</v>
      </c>
      <c r="B44" s="58">
        <f t="shared" si="11"/>
        <v>22</v>
      </c>
      <c r="C44" s="59">
        <f t="shared" si="11"/>
        <v>55.5</v>
      </c>
      <c r="D44" s="58">
        <f t="shared" si="11"/>
        <v>20</v>
      </c>
      <c r="E44" s="58">
        <f t="shared" si="11"/>
        <v>5</v>
      </c>
      <c r="F44" s="61">
        <v>2000</v>
      </c>
    </row>
    <row r="45" spans="1:16">
      <c r="A45" s="5" t="s">
        <v>22</v>
      </c>
      <c r="B45" s="58">
        <f t="shared" si="11"/>
        <v>40</v>
      </c>
      <c r="C45" s="59">
        <f t="shared" si="11"/>
        <v>10.5</v>
      </c>
      <c r="D45" s="58">
        <f t="shared" si="11"/>
        <v>23</v>
      </c>
      <c r="E45" s="58">
        <f t="shared" si="11"/>
        <v>10</v>
      </c>
      <c r="F45" s="61">
        <v>800</v>
      </c>
    </row>
    <row r="46" spans="1:16" ht="20" thickBot="1">
      <c r="A46" s="9"/>
      <c r="C46" s="16"/>
      <c r="D46" s="3"/>
      <c r="E46" s="3"/>
      <c r="F46" s="20"/>
    </row>
    <row r="47" spans="1:16" ht="20" thickBot="1">
      <c r="A47" s="5" t="s">
        <v>37</v>
      </c>
      <c r="B47" s="70">
        <f>B43*F43+B44*F44+B45*F45</f>
        <v>173200</v>
      </c>
      <c r="C47" s="29">
        <f>C43*F43+C44*F44+C45*F45</f>
        <v>162600</v>
      </c>
      <c r="D47" s="29">
        <f>D43*F43+D44*F44+D45*F45</f>
        <v>182600</v>
      </c>
      <c r="E47" s="29">
        <f>E43*F43+E44*F44+E45*F45</f>
        <v>45000</v>
      </c>
      <c r="F47" s="67" t="s">
        <v>56</v>
      </c>
      <c r="G47" s="68"/>
      <c r="H47" s="68"/>
      <c r="I47" s="68"/>
      <c r="J47" s="68"/>
      <c r="K47" s="68"/>
      <c r="L47" s="68"/>
      <c r="M47" s="69"/>
    </row>
    <row r="48" spans="1:16" s="140" customFormat="1" ht="119">
      <c r="A48" s="77" t="s">
        <v>94</v>
      </c>
      <c r="B48" s="135">
        <f>B47/B17</f>
        <v>1.9880624426078968</v>
      </c>
      <c r="C48" s="135">
        <f>C47/C17</f>
        <v>1.8127090301003344</v>
      </c>
      <c r="D48" s="136">
        <f>D47/D17</f>
        <v>2.0356744704570793</v>
      </c>
      <c r="E48" s="135">
        <f>E47/E17</f>
        <v>0.50167224080267558</v>
      </c>
      <c r="F48" s="132" t="s">
        <v>95</v>
      </c>
      <c r="G48" s="137"/>
      <c r="H48" s="131" t="s">
        <v>96</v>
      </c>
      <c r="J48" s="137"/>
      <c r="K48" s="137"/>
      <c r="L48" s="137"/>
      <c r="M48" s="137"/>
      <c r="N48" s="138"/>
      <c r="O48" s="139"/>
      <c r="P48" s="139"/>
    </row>
    <row r="49" spans="1:8">
      <c r="A49" s="5" t="s">
        <v>42</v>
      </c>
      <c r="B49" s="72">
        <v>2</v>
      </c>
      <c r="C49" s="72">
        <v>2</v>
      </c>
      <c r="D49" s="72">
        <v>2</v>
      </c>
      <c r="E49" s="72">
        <v>1</v>
      </c>
      <c r="F49" s="20"/>
    </row>
    <row r="50" spans="1:8">
      <c r="A50" s="5" t="s">
        <v>38</v>
      </c>
      <c r="B50" s="29">
        <f>B49*B17</f>
        <v>174240.00000000003</v>
      </c>
      <c r="C50" s="29">
        <f>C49*C17</f>
        <v>179400</v>
      </c>
      <c r="D50" s="29">
        <f>D49*D17</f>
        <v>179400</v>
      </c>
      <c r="E50" s="29">
        <f>E49*E17</f>
        <v>89700</v>
      </c>
      <c r="F50" s="66" t="s">
        <v>58</v>
      </c>
    </row>
    <row r="51" spans="1:8">
      <c r="A51" s="5" t="s">
        <v>39</v>
      </c>
      <c r="B51" s="29">
        <f>B50-B47</f>
        <v>1040.0000000000291</v>
      </c>
      <c r="C51" s="29">
        <f t="shared" ref="C51:E51" si="12">C50-C47</f>
        <v>16800</v>
      </c>
      <c r="D51" s="29">
        <f t="shared" si="12"/>
        <v>-3200</v>
      </c>
      <c r="E51" s="29">
        <f t="shared" si="12"/>
        <v>44700</v>
      </c>
      <c r="F51" s="66" t="s">
        <v>59</v>
      </c>
    </row>
    <row r="52" spans="1:8">
      <c r="A52" s="5" t="s">
        <v>40</v>
      </c>
      <c r="B52" s="74">
        <f>B51*B20</f>
        <v>6240.0000000001737</v>
      </c>
      <c r="C52" s="74">
        <f>C51*C20</f>
        <v>16800</v>
      </c>
      <c r="D52" s="74">
        <f>D51*D20</f>
        <v>-4800</v>
      </c>
      <c r="E52" s="74">
        <f>E51*E20</f>
        <v>35760</v>
      </c>
      <c r="F52" s="66" t="s">
        <v>60</v>
      </c>
    </row>
    <row r="53" spans="1:8">
      <c r="A53" s="5" t="s">
        <v>41</v>
      </c>
      <c r="B53" s="73">
        <f>B47/B50</f>
        <v>0.99403122130394839</v>
      </c>
      <c r="C53" s="73">
        <f t="shared" ref="C53:E53" si="13">C47/C50</f>
        <v>0.90635451505016718</v>
      </c>
      <c r="D53" s="73">
        <f t="shared" si="13"/>
        <v>1.0178372352285396</v>
      </c>
      <c r="E53" s="73">
        <f t="shared" si="13"/>
        <v>0.50167224080267558</v>
      </c>
      <c r="F53" s="66" t="s">
        <v>61</v>
      </c>
    </row>
    <row r="54" spans="1:8">
      <c r="F54" s="20"/>
    </row>
    <row r="55" spans="1:8">
      <c r="B55" s="81" t="s">
        <v>3</v>
      </c>
      <c r="C55" s="82" t="s">
        <v>0</v>
      </c>
      <c r="D55" s="82" t="s">
        <v>1</v>
      </c>
      <c r="E55" s="82" t="s">
        <v>2</v>
      </c>
      <c r="F55" s="62"/>
      <c r="H55" s="3" t="s">
        <v>66</v>
      </c>
    </row>
    <row r="56" spans="1:8" ht="85">
      <c r="A56" s="77" t="s">
        <v>62</v>
      </c>
      <c r="B56" s="78">
        <f>B47*B20</f>
        <v>1039199.9999999999</v>
      </c>
      <c r="C56" s="78">
        <f>C47*C20</f>
        <v>162600</v>
      </c>
      <c r="D56" s="78">
        <f>D47*D20</f>
        <v>273900</v>
      </c>
      <c r="E56" s="78">
        <f>E47*E20</f>
        <v>36000</v>
      </c>
      <c r="F56" s="79" t="s">
        <v>63</v>
      </c>
      <c r="G56" s="77"/>
      <c r="H56" s="80">
        <f>SUM(B56:E56)</f>
        <v>1511700</v>
      </c>
    </row>
    <row r="57" spans="1:8">
      <c r="A57" s="5" t="s">
        <v>40</v>
      </c>
      <c r="B57" s="47">
        <f>B52</f>
        <v>6240.0000000001737</v>
      </c>
      <c r="C57" s="47">
        <f t="shared" ref="C57:E57" si="14">C52</f>
        <v>16800</v>
      </c>
      <c r="D57" s="47">
        <f t="shared" si="14"/>
        <v>-4800</v>
      </c>
      <c r="E57" s="47">
        <f t="shared" si="14"/>
        <v>35760</v>
      </c>
      <c r="F57" s="62" t="s">
        <v>64</v>
      </c>
      <c r="G57" s="62"/>
      <c r="H57" s="75">
        <f>SUM(B57:E57)</f>
        <v>54000.000000000175</v>
      </c>
    </row>
    <row r="58" spans="1:8">
      <c r="A58" s="62" t="s">
        <v>65</v>
      </c>
      <c r="B58" s="75">
        <f>SUM(B56:B57)</f>
        <v>1045440</v>
      </c>
      <c r="C58" s="75">
        <f t="shared" ref="C58:E58" si="15">SUM(C56:C57)</f>
        <v>179400</v>
      </c>
      <c r="D58" s="75">
        <f t="shared" si="15"/>
        <v>269100</v>
      </c>
      <c r="E58" s="75">
        <f t="shared" si="15"/>
        <v>71760</v>
      </c>
      <c r="F58" s="75"/>
      <c r="H58" s="75">
        <f>SUM(B58:E58)</f>
        <v>1565700</v>
      </c>
    </row>
    <row r="60" spans="1:8">
      <c r="A60" s="3" t="s">
        <v>67</v>
      </c>
    </row>
    <row r="61" spans="1:8">
      <c r="B61" s="81" t="s">
        <v>3</v>
      </c>
      <c r="C61" s="82" t="s">
        <v>0</v>
      </c>
      <c r="D61" s="82" t="s">
        <v>1</v>
      </c>
      <c r="E61" s="82" t="s">
        <v>2</v>
      </c>
      <c r="H61" s="3" t="s">
        <v>66</v>
      </c>
    </row>
    <row r="62" spans="1:8" ht="102">
      <c r="A62" s="77" t="s">
        <v>68</v>
      </c>
      <c r="B62" s="83">
        <f>B49</f>
        <v>2</v>
      </c>
      <c r="C62" s="83">
        <f t="shared" ref="C62:E62" si="16">C49</f>
        <v>2</v>
      </c>
      <c r="D62" s="83">
        <f t="shared" si="16"/>
        <v>2</v>
      </c>
      <c r="E62" s="83">
        <f t="shared" si="16"/>
        <v>1</v>
      </c>
      <c r="F62" s="79" t="s">
        <v>69</v>
      </c>
      <c r="G62" s="84"/>
      <c r="H62" s="84"/>
    </row>
    <row r="63" spans="1:8">
      <c r="A63" s="62" t="s">
        <v>70</v>
      </c>
      <c r="B63" s="75">
        <f>B58</f>
        <v>1045440</v>
      </c>
      <c r="C63" s="75">
        <f t="shared" ref="C63:E63" si="17">C58</f>
        <v>179400</v>
      </c>
      <c r="D63" s="75">
        <f t="shared" si="17"/>
        <v>269100</v>
      </c>
      <c r="E63" s="75">
        <f t="shared" si="17"/>
        <v>71760</v>
      </c>
      <c r="F63" s="62" t="s">
        <v>71</v>
      </c>
      <c r="H63" s="85">
        <f>SUM(B63:E63)</f>
        <v>1565700</v>
      </c>
    </row>
    <row r="64" spans="1:8">
      <c r="A64" s="62" t="s">
        <v>72</v>
      </c>
      <c r="B64" s="75">
        <f>B50</f>
        <v>174240.00000000003</v>
      </c>
      <c r="C64" s="75">
        <f t="shared" ref="C64:E64" si="18">C50</f>
        <v>179400</v>
      </c>
      <c r="D64" s="75">
        <f t="shared" si="18"/>
        <v>179400</v>
      </c>
      <c r="E64" s="75">
        <f t="shared" si="18"/>
        <v>89700</v>
      </c>
      <c r="F64" s="62" t="s">
        <v>73</v>
      </c>
    </row>
    <row r="65" spans="1:11" ht="20" thickBot="1"/>
    <row r="66" spans="1:11">
      <c r="A66" s="87" t="s">
        <v>76</v>
      </c>
      <c r="B66" s="88"/>
      <c r="C66" s="89"/>
      <c r="D66" s="90"/>
      <c r="E66" s="90"/>
      <c r="F66" s="91"/>
      <c r="G66" s="92"/>
      <c r="H66" s="92"/>
      <c r="I66" s="93"/>
    </row>
    <row r="67" spans="1:11">
      <c r="A67" s="94"/>
      <c r="B67" s="95"/>
      <c r="C67" s="96"/>
      <c r="D67" s="97"/>
      <c r="E67" s="97"/>
      <c r="F67" s="98"/>
      <c r="G67" s="99"/>
      <c r="H67" s="99"/>
      <c r="I67" s="100"/>
    </row>
    <row r="68" spans="1:11">
      <c r="A68" s="101" t="s">
        <v>81</v>
      </c>
      <c r="B68" s="102" t="s">
        <v>3</v>
      </c>
      <c r="C68" s="103" t="s">
        <v>0</v>
      </c>
      <c r="D68" s="103" t="s">
        <v>1</v>
      </c>
      <c r="E68" s="103" t="s">
        <v>2</v>
      </c>
      <c r="F68" s="98"/>
      <c r="G68" s="99"/>
      <c r="H68" s="99"/>
      <c r="I68" s="100"/>
    </row>
    <row r="69" spans="1:11">
      <c r="A69" s="101" t="s">
        <v>77</v>
      </c>
      <c r="B69" s="104">
        <v>522720</v>
      </c>
      <c r="C69" s="104">
        <v>89700</v>
      </c>
      <c r="D69" s="104">
        <v>134550</v>
      </c>
      <c r="E69" s="104">
        <v>71760</v>
      </c>
      <c r="F69" s="105" t="s">
        <v>47</v>
      </c>
      <c r="G69" s="99"/>
      <c r="H69" s="99"/>
      <c r="I69" s="100"/>
    </row>
    <row r="70" spans="1:11">
      <c r="A70" s="101" t="s">
        <v>78</v>
      </c>
      <c r="B70" s="106">
        <f>B17</f>
        <v>87120.000000000015</v>
      </c>
      <c r="C70" s="106">
        <f>C17</f>
        <v>89700</v>
      </c>
      <c r="D70" s="106">
        <f>D17</f>
        <v>89700</v>
      </c>
      <c r="E70" s="106">
        <f>E17</f>
        <v>89700</v>
      </c>
      <c r="F70" s="107"/>
      <c r="G70" s="108" t="s">
        <v>82</v>
      </c>
      <c r="H70" s="109"/>
      <c r="I70" s="100"/>
    </row>
    <row r="71" spans="1:11">
      <c r="A71" s="101" t="s">
        <v>79</v>
      </c>
      <c r="B71" s="110">
        <f>B20</f>
        <v>5.9999999999999991</v>
      </c>
      <c r="C71" s="110">
        <f>C20</f>
        <v>1</v>
      </c>
      <c r="D71" s="110">
        <f>D20</f>
        <v>1.5</v>
      </c>
      <c r="E71" s="110">
        <f>E20</f>
        <v>0.8</v>
      </c>
      <c r="F71" s="107"/>
      <c r="G71" s="108" t="s">
        <v>80</v>
      </c>
      <c r="H71" s="109"/>
      <c r="I71" s="100"/>
    </row>
    <row r="72" spans="1:11">
      <c r="A72" s="94"/>
      <c r="B72" s="95"/>
      <c r="C72" s="96"/>
      <c r="D72" s="97"/>
      <c r="E72" s="97"/>
      <c r="F72" s="98"/>
      <c r="G72" s="99"/>
      <c r="H72" s="99"/>
      <c r="I72" s="100"/>
    </row>
    <row r="73" spans="1:11">
      <c r="A73" s="111" t="s">
        <v>83</v>
      </c>
      <c r="B73" s="97"/>
      <c r="C73" s="97"/>
      <c r="D73" s="97"/>
      <c r="E73" s="97"/>
      <c r="F73" s="112" t="s">
        <v>66</v>
      </c>
      <c r="G73" s="113"/>
      <c r="H73" s="102"/>
      <c r="I73" s="114"/>
      <c r="J73" s="13"/>
      <c r="K73" s="13"/>
    </row>
    <row r="74" spans="1:11">
      <c r="A74" s="115" t="s">
        <v>20</v>
      </c>
      <c r="B74" s="116">
        <v>18</v>
      </c>
      <c r="C74" s="117">
        <v>8</v>
      </c>
      <c r="D74" s="117">
        <v>23</v>
      </c>
      <c r="E74" s="116">
        <v>5</v>
      </c>
      <c r="F74" s="118">
        <f>SUM(B28:E28)</f>
        <v>154.5</v>
      </c>
      <c r="G74" s="119"/>
      <c r="H74" s="113"/>
      <c r="I74" s="120"/>
      <c r="J74" s="56"/>
      <c r="K74" s="56"/>
    </row>
    <row r="75" spans="1:11">
      <c r="A75" s="115" t="s">
        <v>21</v>
      </c>
      <c r="B75" s="116">
        <v>22</v>
      </c>
      <c r="C75" s="117">
        <v>55.5</v>
      </c>
      <c r="D75" s="117">
        <v>20</v>
      </c>
      <c r="E75" s="116">
        <v>5</v>
      </c>
      <c r="F75" s="118">
        <f>SUM(B29:E29)</f>
        <v>221.49999999999997</v>
      </c>
      <c r="G75" s="113"/>
      <c r="H75" s="113"/>
      <c r="I75" s="120"/>
      <c r="J75" s="56"/>
      <c r="K75" s="56"/>
    </row>
    <row r="76" spans="1:11">
      <c r="A76" s="115" t="s">
        <v>22</v>
      </c>
      <c r="B76" s="116">
        <v>40</v>
      </c>
      <c r="C76" s="117">
        <v>10.5</v>
      </c>
      <c r="D76" s="117">
        <v>23</v>
      </c>
      <c r="E76" s="116">
        <v>10</v>
      </c>
      <c r="F76" s="118">
        <f>SUM(B30:E30)</f>
        <v>293</v>
      </c>
      <c r="G76" s="113"/>
      <c r="H76" s="113"/>
      <c r="I76" s="120"/>
      <c r="J76" s="56"/>
      <c r="K76" s="56"/>
    </row>
    <row r="77" spans="1:11">
      <c r="A77" s="94"/>
      <c r="B77" s="95"/>
      <c r="C77" s="96"/>
      <c r="D77" s="97"/>
      <c r="E77" s="97"/>
      <c r="F77" s="98"/>
      <c r="G77" s="99"/>
      <c r="H77" s="99"/>
      <c r="I77" s="100"/>
    </row>
    <row r="78" spans="1:11">
      <c r="A78" s="101" t="s">
        <v>68</v>
      </c>
      <c r="B78" s="121">
        <f>B62</f>
        <v>2</v>
      </c>
      <c r="C78" s="121">
        <f t="shared" ref="C78:E78" si="19">C62</f>
        <v>2</v>
      </c>
      <c r="D78" s="121">
        <f t="shared" si="19"/>
        <v>2</v>
      </c>
      <c r="E78" s="121">
        <f t="shared" si="19"/>
        <v>1</v>
      </c>
      <c r="F78" s="108"/>
      <c r="G78" s="109" t="s">
        <v>64</v>
      </c>
      <c r="H78" s="99"/>
      <c r="I78" s="100"/>
    </row>
    <row r="79" spans="1:11">
      <c r="A79" s="101" t="s">
        <v>84</v>
      </c>
      <c r="B79" s="85">
        <f>B63</f>
        <v>1045440</v>
      </c>
      <c r="C79" s="85">
        <f t="shared" ref="C79:E79" si="20">C63</f>
        <v>179400</v>
      </c>
      <c r="D79" s="85">
        <f t="shared" si="20"/>
        <v>269100</v>
      </c>
      <c r="E79" s="85">
        <f t="shared" si="20"/>
        <v>71760</v>
      </c>
      <c r="F79" s="108">
        <f>SUM(B79:E79)</f>
        <v>1565700</v>
      </c>
      <c r="G79" s="109" t="s">
        <v>64</v>
      </c>
      <c r="H79" s="99"/>
      <c r="I79" s="100"/>
    </row>
    <row r="80" spans="1:11" ht="20" thickBot="1">
      <c r="A80" s="122" t="s">
        <v>72</v>
      </c>
      <c r="B80" s="123">
        <f>B64</f>
        <v>174240.00000000003</v>
      </c>
      <c r="C80" s="123">
        <f t="shared" ref="C80:E80" si="21">C64</f>
        <v>179400</v>
      </c>
      <c r="D80" s="123">
        <f t="shared" si="21"/>
        <v>179400</v>
      </c>
      <c r="E80" s="123">
        <f t="shared" si="21"/>
        <v>89700</v>
      </c>
      <c r="F80" s="124"/>
      <c r="G80" s="125" t="s">
        <v>64</v>
      </c>
      <c r="H80" s="126"/>
      <c r="I80" s="127"/>
    </row>
    <row r="81" spans="1:9">
      <c r="A81" s="9"/>
      <c r="B81" s="9"/>
      <c r="C81" s="16"/>
      <c r="D81" s="3"/>
      <c r="E81" s="3"/>
      <c r="F81" s="20"/>
    </row>
    <row r="82" spans="1:9">
      <c r="A82" s="86" t="s">
        <v>97</v>
      </c>
    </row>
    <row r="84" spans="1:9">
      <c r="A84" s="62" t="s">
        <v>107</v>
      </c>
    </row>
    <row r="86" spans="1:9">
      <c r="A86" s="9" t="s">
        <v>85</v>
      </c>
    </row>
    <row r="87" spans="1:9">
      <c r="A87" s="62"/>
    </row>
    <row r="88" spans="1:9">
      <c r="A88" s="101" t="s">
        <v>79</v>
      </c>
      <c r="B88" s="110">
        <f>B71</f>
        <v>5.9999999999999991</v>
      </c>
      <c r="C88" s="110">
        <f t="shared" ref="C88:E88" si="22">C71</f>
        <v>1</v>
      </c>
      <c r="D88" s="110">
        <f t="shared" si="22"/>
        <v>1.5</v>
      </c>
      <c r="E88" s="110">
        <f t="shared" si="22"/>
        <v>0.8</v>
      </c>
      <c r="F88" s="107"/>
      <c r="G88" s="108" t="s">
        <v>80</v>
      </c>
      <c r="H88" s="109"/>
      <c r="I88" s="99"/>
    </row>
    <row r="89" spans="1:9">
      <c r="A89" s="2"/>
      <c r="I89" s="99"/>
    </row>
    <row r="90" spans="1:9">
      <c r="A90" s="111" t="s">
        <v>86</v>
      </c>
      <c r="B90" s="97"/>
      <c r="C90" s="97"/>
      <c r="D90" s="97"/>
      <c r="E90" s="97"/>
      <c r="F90" s="112" t="s">
        <v>66</v>
      </c>
      <c r="I90" s="99"/>
    </row>
    <row r="91" spans="1:9">
      <c r="A91" s="115" t="s">
        <v>20</v>
      </c>
      <c r="B91" s="116">
        <v>18</v>
      </c>
      <c r="C91" s="117">
        <v>8</v>
      </c>
      <c r="D91" s="117">
        <v>23</v>
      </c>
      <c r="E91" s="116">
        <v>5</v>
      </c>
      <c r="F91" s="118">
        <f>B91*$B$88+C91*$C$88+D91*$D$88+E91*$E$88</f>
        <v>154.5</v>
      </c>
      <c r="I91" s="99"/>
    </row>
    <row r="92" spans="1:9">
      <c r="A92" s="115" t="s">
        <v>21</v>
      </c>
      <c r="B92" s="116">
        <v>22</v>
      </c>
      <c r="C92" s="117">
        <v>55.5</v>
      </c>
      <c r="D92" s="117">
        <v>20</v>
      </c>
      <c r="E92" s="116">
        <v>5</v>
      </c>
      <c r="F92" s="118">
        <f t="shared" ref="F92:F93" si="23">B92*$B$88+C92*$C$88+D92*$D$88+E92*$E$88</f>
        <v>221.49999999999997</v>
      </c>
      <c r="I92" s="99"/>
    </row>
    <row r="93" spans="1:9">
      <c r="A93" s="115" t="s">
        <v>22</v>
      </c>
      <c r="B93" s="116">
        <v>40</v>
      </c>
      <c r="C93" s="117">
        <v>10.5</v>
      </c>
      <c r="D93" s="117">
        <v>23</v>
      </c>
      <c r="E93" s="116">
        <v>10</v>
      </c>
      <c r="F93" s="118">
        <f t="shared" si="23"/>
        <v>293</v>
      </c>
      <c r="I93" s="99"/>
    </row>
    <row r="94" spans="1:9">
      <c r="I94" s="99"/>
    </row>
    <row r="95" spans="1:9">
      <c r="A95" s="9" t="s">
        <v>87</v>
      </c>
      <c r="I95" s="99"/>
    </row>
    <row r="96" spans="1:9">
      <c r="I96" s="99"/>
    </row>
    <row r="97" spans="1:16">
      <c r="A97" s="101" t="s">
        <v>79</v>
      </c>
      <c r="B97" s="110">
        <f>B88</f>
        <v>5.9999999999999991</v>
      </c>
      <c r="C97" s="110">
        <f t="shared" ref="C97:E97" si="24">C88</f>
        <v>1</v>
      </c>
      <c r="D97" s="110">
        <f t="shared" si="24"/>
        <v>1.5</v>
      </c>
      <c r="E97" s="110">
        <f t="shared" si="24"/>
        <v>0.8</v>
      </c>
      <c r="F97" s="107"/>
      <c r="G97" s="108" t="s">
        <v>88</v>
      </c>
      <c r="H97" s="109"/>
      <c r="I97" s="99"/>
    </row>
    <row r="99" spans="1:16" ht="20" thickBot="1">
      <c r="A99" s="111" t="s">
        <v>86</v>
      </c>
      <c r="B99" s="97"/>
      <c r="C99" s="97"/>
      <c r="D99" s="97"/>
      <c r="E99" s="97"/>
      <c r="F99" s="112" t="s">
        <v>66</v>
      </c>
    </row>
    <row r="100" spans="1:16" ht="20" thickBot="1">
      <c r="A100" s="115" t="s">
        <v>20</v>
      </c>
      <c r="B100" s="128">
        <v>10</v>
      </c>
      <c r="C100" s="117">
        <v>8</v>
      </c>
      <c r="D100" s="129">
        <v>39</v>
      </c>
      <c r="E100" s="116">
        <v>5</v>
      </c>
      <c r="F100" s="65">
        <f>B100*$B$88+C100*$C$88+D100*$D$88+E100*$E$88</f>
        <v>130.5</v>
      </c>
      <c r="G100" s="62" t="s">
        <v>89</v>
      </c>
    </row>
    <row r="101" spans="1:16">
      <c r="A101" s="115" t="s">
        <v>21</v>
      </c>
      <c r="B101" s="116">
        <v>22</v>
      </c>
      <c r="C101" s="117">
        <v>55.5</v>
      </c>
      <c r="D101" s="117">
        <v>20</v>
      </c>
      <c r="E101" s="116">
        <v>5</v>
      </c>
      <c r="F101" s="118">
        <f t="shared" ref="F101:F102" si="25">B101*$B$88+C101*$C$88+D101*$D$88+E101*$E$88</f>
        <v>221.49999999999997</v>
      </c>
    </row>
    <row r="102" spans="1:16">
      <c r="A102" s="115" t="s">
        <v>22</v>
      </c>
      <c r="B102" s="116">
        <v>40</v>
      </c>
      <c r="C102" s="117">
        <v>10.5</v>
      </c>
      <c r="D102" s="117">
        <v>23</v>
      </c>
      <c r="E102" s="116">
        <v>10</v>
      </c>
      <c r="F102" s="118">
        <f t="shared" si="25"/>
        <v>293</v>
      </c>
    </row>
    <row r="103" spans="1:16" ht="70">
      <c r="B103" s="79" t="s">
        <v>90</v>
      </c>
      <c r="D103" s="76" t="s">
        <v>91</v>
      </c>
    </row>
    <row r="105" spans="1:16" ht="20" thickBot="1">
      <c r="A105" s="9" t="s">
        <v>92</v>
      </c>
      <c r="C105" s="16"/>
      <c r="D105" s="3"/>
      <c r="E105" s="3"/>
      <c r="F105" s="20"/>
    </row>
    <row r="106" spans="1:16" ht="20" thickBot="1">
      <c r="A106" s="5" t="s">
        <v>37</v>
      </c>
      <c r="B106" s="70">
        <f>B100*5400+22*2000+40*800</f>
        <v>130000</v>
      </c>
      <c r="C106" s="29">
        <f>C100*5400+C101*2000+C102*800</f>
        <v>162600</v>
      </c>
      <c r="D106" s="29">
        <f>D100*5400+D101*2000+D102*800</f>
        <v>269000</v>
      </c>
      <c r="E106" s="29">
        <f>E100*5400+E101*2000+E102*800</f>
        <v>45000</v>
      </c>
      <c r="F106" s="67" t="s">
        <v>93</v>
      </c>
      <c r="G106" s="68"/>
      <c r="H106" s="68"/>
      <c r="I106" s="68"/>
      <c r="J106" s="68"/>
      <c r="K106" s="68"/>
      <c r="L106" s="68"/>
      <c r="M106" s="69"/>
    </row>
    <row r="107" spans="1:16">
      <c r="A107" s="62" t="s">
        <v>94</v>
      </c>
      <c r="B107" s="71">
        <f>B106/B70</f>
        <v>1.4921946740128555</v>
      </c>
      <c r="C107" s="71">
        <f>C106/C70</f>
        <v>1.8127090301003344</v>
      </c>
      <c r="D107" s="71">
        <f>D106/D70</f>
        <v>2.9988851727982162</v>
      </c>
      <c r="E107" s="71">
        <f>E106/E70</f>
        <v>0.50167224080267558</v>
      </c>
      <c r="F107" s="130"/>
      <c r="G107" s="56"/>
      <c r="H107" s="56"/>
      <c r="I107" s="56"/>
      <c r="J107" s="56"/>
      <c r="K107" s="56"/>
      <c r="L107" s="56"/>
      <c r="M107" s="56"/>
      <c r="N107" s="133"/>
      <c r="O107" s="134"/>
      <c r="P107" s="134"/>
    </row>
    <row r="108" spans="1:16">
      <c r="A108" s="62" t="s">
        <v>98</v>
      </c>
      <c r="B108" s="141">
        <v>1.5</v>
      </c>
      <c r="C108" s="141">
        <v>2</v>
      </c>
      <c r="D108" s="141">
        <v>3</v>
      </c>
      <c r="E108" s="141">
        <v>1</v>
      </c>
      <c r="F108" s="142" t="s">
        <v>106</v>
      </c>
    </row>
    <row r="109" spans="1:16">
      <c r="A109" s="5" t="s">
        <v>38</v>
      </c>
      <c r="B109" s="29">
        <f>B108*B70</f>
        <v>130680.00000000003</v>
      </c>
      <c r="C109" s="29">
        <f>C108*C70</f>
        <v>179400</v>
      </c>
      <c r="D109" s="29">
        <f>D108*D70</f>
        <v>269100</v>
      </c>
      <c r="E109" s="29">
        <f>E108*E70</f>
        <v>89700</v>
      </c>
      <c r="F109" s="66" t="s">
        <v>99</v>
      </c>
    </row>
    <row r="110" spans="1:16">
      <c r="A110" s="5" t="s">
        <v>39</v>
      </c>
      <c r="B110" s="29">
        <f>B109-B106</f>
        <v>680.0000000000291</v>
      </c>
      <c r="C110" s="29">
        <f>C109-C106</f>
        <v>16800</v>
      </c>
      <c r="D110" s="29">
        <f t="shared" ref="D110" si="26">D109-D106</f>
        <v>100</v>
      </c>
      <c r="E110" s="29">
        <f>E109-E106</f>
        <v>44700</v>
      </c>
      <c r="F110" s="66" t="s">
        <v>59</v>
      </c>
    </row>
    <row r="111" spans="1:16">
      <c r="A111" s="5" t="s">
        <v>40</v>
      </c>
      <c r="B111" s="74">
        <f>B110*B97</f>
        <v>4080.0000000001742</v>
      </c>
      <c r="C111" s="74">
        <f>C110*C97</f>
        <v>16800</v>
      </c>
      <c r="D111" s="74">
        <f>D110*D97</f>
        <v>150</v>
      </c>
      <c r="E111" s="74">
        <f>E110*E97</f>
        <v>35760</v>
      </c>
      <c r="F111" s="66" t="s">
        <v>60</v>
      </c>
    </row>
    <row r="112" spans="1:16">
      <c r="A112" s="5" t="s">
        <v>41</v>
      </c>
      <c r="B112" s="73">
        <f>B106/B109</f>
        <v>0.9947964493419037</v>
      </c>
      <c r="C112" s="73">
        <f t="shared" ref="C112:E112" si="27">C106/C109</f>
        <v>0.90635451505016718</v>
      </c>
      <c r="D112" s="73">
        <f t="shared" si="27"/>
        <v>0.99962839093273881</v>
      </c>
      <c r="E112" s="73">
        <f t="shared" si="27"/>
        <v>0.50167224080267558</v>
      </c>
      <c r="F112" s="66" t="s">
        <v>61</v>
      </c>
    </row>
    <row r="114" spans="1:10">
      <c r="F114" s="112" t="s">
        <v>66</v>
      </c>
    </row>
    <row r="115" spans="1:10">
      <c r="A115" s="77" t="s">
        <v>62</v>
      </c>
      <c r="B115" s="47">
        <f>B106*B97</f>
        <v>779999.99999999988</v>
      </c>
      <c r="C115" s="47">
        <f>C106*C97</f>
        <v>162600</v>
      </c>
      <c r="D115" s="47">
        <f>D106*D97</f>
        <v>403500</v>
      </c>
      <c r="E115" s="47">
        <f>E106*E97</f>
        <v>36000</v>
      </c>
      <c r="F115" s="75">
        <f>SUM(B115:E115)</f>
        <v>1382100</v>
      </c>
    </row>
    <row r="116" spans="1:10">
      <c r="A116" s="5" t="s">
        <v>40</v>
      </c>
      <c r="B116" s="75">
        <f>B111</f>
        <v>4080.0000000001742</v>
      </c>
      <c r="C116" s="75">
        <f t="shared" ref="C116:E116" si="28">C111</f>
        <v>16800</v>
      </c>
      <c r="D116" s="75">
        <f t="shared" si="28"/>
        <v>150</v>
      </c>
      <c r="E116" s="75">
        <f t="shared" si="28"/>
        <v>35760</v>
      </c>
      <c r="F116" s="75"/>
      <c r="G116" s="66" t="s">
        <v>60</v>
      </c>
    </row>
    <row r="117" spans="1:10">
      <c r="A117" s="62" t="s">
        <v>65</v>
      </c>
      <c r="B117" s="75">
        <f>SUM(B115:B116)</f>
        <v>784080</v>
      </c>
      <c r="C117" s="75">
        <f t="shared" ref="C117:E117" si="29">SUM(C115:C116)</f>
        <v>179400</v>
      </c>
      <c r="D117" s="75">
        <f t="shared" si="29"/>
        <v>403650</v>
      </c>
      <c r="E117" s="75">
        <f t="shared" si="29"/>
        <v>71760</v>
      </c>
      <c r="F117" s="75">
        <f t="shared" ref="F117" si="30">SUM(B117:E117)</f>
        <v>1438890</v>
      </c>
    </row>
    <row r="118" spans="1:10">
      <c r="A118" s="9" t="s">
        <v>100</v>
      </c>
      <c r="F118" s="143">
        <f>F117-F79</f>
        <v>-126810</v>
      </c>
      <c r="G118" s="9" t="s">
        <v>101</v>
      </c>
      <c r="H118" s="9"/>
      <c r="I118" s="9"/>
      <c r="J118" s="9"/>
    </row>
    <row r="119" spans="1:10">
      <c r="G119" s="62" t="s">
        <v>104</v>
      </c>
    </row>
    <row r="120" spans="1:10">
      <c r="G120" s="62"/>
    </row>
    <row r="121" spans="1:10">
      <c r="B121" s="144" t="s">
        <v>102</v>
      </c>
      <c r="C121" s="144"/>
      <c r="D121" s="144"/>
      <c r="E121" s="144"/>
      <c r="F121" s="144"/>
      <c r="G121" s="144"/>
      <c r="H121" s="3"/>
    </row>
    <row r="122" spans="1:10">
      <c r="B122" s="144" t="s">
        <v>103</v>
      </c>
      <c r="C122" s="144"/>
      <c r="D122" s="144"/>
      <c r="E122" s="144"/>
      <c r="F122" s="144"/>
      <c r="G122" s="144"/>
      <c r="H122" s="3"/>
    </row>
    <row r="123" spans="1:10">
      <c r="B123" s="144" t="s">
        <v>109</v>
      </c>
      <c r="C123" s="144"/>
      <c r="D123" s="144"/>
      <c r="E123" s="144"/>
      <c r="F123" s="144"/>
      <c r="G123" s="144"/>
      <c r="H123" s="3"/>
    </row>
    <row r="124" spans="1:10">
      <c r="B124" s="144"/>
      <c r="C124" s="144"/>
      <c r="D124" s="144"/>
      <c r="E124" s="144"/>
      <c r="F124" s="144"/>
      <c r="G124" s="144"/>
    </row>
    <row r="125" spans="1:10">
      <c r="B125" s="144" t="s">
        <v>108</v>
      </c>
      <c r="C125" s="144"/>
      <c r="D125" s="144"/>
      <c r="E125" s="144"/>
      <c r="F125" s="144"/>
      <c r="G125" s="144"/>
    </row>
    <row r="126" spans="1:10">
      <c r="B126" s="144" t="s">
        <v>105</v>
      </c>
      <c r="C126" s="144"/>
      <c r="D126" s="144"/>
      <c r="E126" s="144"/>
      <c r="F126" s="144"/>
      <c r="G126" s="144"/>
    </row>
  </sheetData>
  <pageMargins left="0.7" right="0.7" top="0.75" bottom="0.75" header="0.3" footer="0.3"/>
  <pageSetup scale="39" fitToHeight="2"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DPOS Assignment Worksheet</vt:lpstr>
      <vt:lpstr>'DPOS Assignment Worksheet'!Área_de_Impressão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Wertheimer</dc:creator>
  <cp:lastModifiedBy>João Pedro Marques Gomes</cp:lastModifiedBy>
  <cp:lastPrinted>2020-03-30T19:20:35Z</cp:lastPrinted>
  <dcterms:created xsi:type="dcterms:W3CDTF">2012-11-19T14:25:18Z</dcterms:created>
  <dcterms:modified xsi:type="dcterms:W3CDTF">2020-03-30T19:20:39Z</dcterms:modified>
</cp:coreProperties>
</file>