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075" activeTab="1"/>
  </bookViews>
  <sheets>
    <sheet name="FCF" sheetId="3" r:id="rId1"/>
    <sheet name="APV" sheetId="5" r:id="rId2"/>
    <sheet name="WACC" sheetId="1" r:id="rId3"/>
    <sheet name="WACC = APV" sheetId="2" r:id="rId4"/>
  </sheets>
  <calcPr calcId="145621"/>
</workbook>
</file>

<file path=xl/calcChain.xml><?xml version="1.0" encoding="utf-8"?>
<calcChain xmlns="http://schemas.openxmlformats.org/spreadsheetml/2006/main">
  <c r="E17" i="5" l="1"/>
  <c r="F16" i="5"/>
  <c r="F18" i="5" s="1"/>
  <c r="F15" i="5"/>
  <c r="E15" i="5"/>
  <c r="D17" i="5" s="1"/>
  <c r="D15" i="5"/>
  <c r="C17" i="5" s="1"/>
  <c r="C15" i="5"/>
  <c r="B17" i="5" s="1"/>
  <c r="F13" i="5"/>
  <c r="E13" i="5"/>
  <c r="D13" i="5"/>
  <c r="C13" i="5"/>
  <c r="F9" i="5"/>
  <c r="F8" i="5"/>
  <c r="E8" i="5" s="1"/>
  <c r="D8" i="5" s="1"/>
  <c r="C8" i="5" s="1"/>
  <c r="B8" i="5" s="1"/>
  <c r="E7" i="5"/>
  <c r="E9" i="5" s="1"/>
  <c r="D7" i="5"/>
  <c r="C7" i="5" s="1"/>
  <c r="F6" i="5"/>
  <c r="C54" i="3"/>
  <c r="D45" i="3"/>
  <c r="D46" i="3" s="1"/>
  <c r="D43" i="3"/>
  <c r="E45" i="3" s="1"/>
  <c r="E46" i="3" s="1"/>
  <c r="C32" i="3"/>
  <c r="D32" i="3" s="1"/>
  <c r="A27" i="3"/>
  <c r="D19" i="3"/>
  <c r="C10" i="3" s="1"/>
  <c r="C33" i="3" s="1"/>
  <c r="C36" i="3" s="1"/>
  <c r="B7" i="5" l="1"/>
  <c r="B9" i="5" s="1"/>
  <c r="C9" i="5"/>
  <c r="E18" i="5"/>
  <c r="F19" i="5"/>
  <c r="F21" i="5" s="1"/>
  <c r="D9" i="5"/>
  <c r="D21" i="3"/>
  <c r="D27" i="3"/>
  <c r="E32" i="3"/>
  <c r="D20" i="3"/>
  <c r="D23" i="3" s="1"/>
  <c r="D54" i="3"/>
  <c r="E43" i="3"/>
  <c r="E19" i="3"/>
  <c r="B28" i="2"/>
  <c r="B15" i="2" s="1"/>
  <c r="B26" i="2"/>
  <c r="B24" i="2"/>
  <c r="B22" i="2"/>
  <c r="B20" i="2"/>
  <c r="F15" i="2"/>
  <c r="E15" i="2"/>
  <c r="D15" i="2"/>
  <c r="C15" i="2"/>
  <c r="E5" i="2"/>
  <c r="D5" i="2" s="1"/>
  <c r="C5" i="2" s="1"/>
  <c r="D18" i="5" l="1"/>
  <c r="E19" i="5"/>
  <c r="E21" i="5" s="1"/>
  <c r="D24" i="3"/>
  <c r="D26" i="3"/>
  <c r="D29" i="3" s="1"/>
  <c r="E27" i="3"/>
  <c r="E21" i="3"/>
  <c r="F32" i="3"/>
  <c r="F19" i="3"/>
  <c r="E20" i="3"/>
  <c r="E23" i="3" s="1"/>
  <c r="D10" i="3"/>
  <c r="D33" i="3" s="1"/>
  <c r="F45" i="3"/>
  <c r="F46" i="3" s="1"/>
  <c r="F43" i="3"/>
  <c r="E54" i="3"/>
  <c r="B5" i="2"/>
  <c r="F4" i="2"/>
  <c r="F6" i="2" s="1"/>
  <c r="C18" i="5" l="1"/>
  <c r="D19" i="5"/>
  <c r="D21" i="5" s="1"/>
  <c r="E24" i="3"/>
  <c r="E26" i="3"/>
  <c r="E29" i="3" s="1"/>
  <c r="G43" i="3"/>
  <c r="G54" i="3" s="1"/>
  <c r="F54" i="3"/>
  <c r="G45" i="3"/>
  <c r="G46" i="3" s="1"/>
  <c r="D36" i="3"/>
  <c r="G19" i="3"/>
  <c r="F20" i="3"/>
  <c r="F23" i="3" s="1"/>
  <c r="E10" i="3"/>
  <c r="E33" i="3" s="1"/>
  <c r="F21" i="3"/>
  <c r="G32" i="3"/>
  <c r="F27" i="3"/>
  <c r="E6" i="2"/>
  <c r="F7" i="2"/>
  <c r="F10" i="2" s="1"/>
  <c r="F14" i="2" s="1"/>
  <c r="C19" i="5" l="1"/>
  <c r="C21" i="5" s="1"/>
  <c r="B18" i="5"/>
  <c r="B19" i="5" s="1"/>
  <c r="B21" i="5" s="1"/>
  <c r="F24" i="3"/>
  <c r="F26" i="3" s="1"/>
  <c r="F29" i="3" s="1"/>
  <c r="F36" i="3" s="1"/>
  <c r="G27" i="3"/>
  <c r="G21" i="3"/>
  <c r="G23" i="3" s="1"/>
  <c r="E36" i="3"/>
  <c r="G20" i="3"/>
  <c r="F10" i="3"/>
  <c r="F33" i="3" s="1"/>
  <c r="H19" i="3"/>
  <c r="G10" i="3" s="1"/>
  <c r="G33" i="3" s="1"/>
  <c r="E48" i="3"/>
  <c r="E52" i="3" s="1"/>
  <c r="D48" i="3"/>
  <c r="D52" i="3" s="1"/>
  <c r="C48" i="3"/>
  <c r="C52" i="3" s="1"/>
  <c r="F48" i="3"/>
  <c r="F52" i="3" s="1"/>
  <c r="G52" i="3" s="1"/>
  <c r="D6" i="2"/>
  <c r="E7" i="2"/>
  <c r="E10" i="2" s="1"/>
  <c r="E14" i="2" s="1"/>
  <c r="G24" i="3" l="1"/>
  <c r="G26" i="3"/>
  <c r="G29" i="3" s="1"/>
  <c r="G36" i="3" s="1"/>
  <c r="D7" i="2"/>
  <c r="D10" i="2" s="1"/>
  <c r="D14" i="2" s="1"/>
  <c r="C6" i="2"/>
  <c r="E38" i="3" l="1"/>
  <c r="E51" i="3" s="1"/>
  <c r="E53" i="3" s="1"/>
  <c r="E55" i="3" s="1"/>
  <c r="D38" i="3"/>
  <c r="D51" i="3" s="1"/>
  <c r="D53" i="3" s="1"/>
  <c r="D55" i="3" s="1"/>
  <c r="C38" i="3"/>
  <c r="C51" i="3" s="1"/>
  <c r="C53" i="3" s="1"/>
  <c r="C55" i="3" s="1"/>
  <c r="F38" i="3"/>
  <c r="F51" i="3" s="1"/>
  <c r="B6" i="2"/>
  <c r="B7" i="2" s="1"/>
  <c r="B10" i="2" s="1"/>
  <c r="B14" i="2" s="1"/>
  <c r="C7" i="2"/>
  <c r="C10" i="2" s="1"/>
  <c r="C14" i="2" s="1"/>
  <c r="C58" i="3" l="1"/>
  <c r="C59" i="3" s="1"/>
  <c r="F53" i="3"/>
  <c r="F55" i="3" s="1"/>
  <c r="G51" i="3"/>
  <c r="G53" i="3" s="1"/>
  <c r="G55" i="3" s="1"/>
  <c r="D58" i="3"/>
  <c r="D59" i="3" s="1"/>
  <c r="E58" i="3"/>
  <c r="E59" i="3" s="1"/>
  <c r="F59" i="3" l="1"/>
  <c r="F61" i="3" s="1"/>
  <c r="F58" i="3"/>
  <c r="G58" i="3"/>
  <c r="G59" i="3" s="1"/>
  <c r="E61" i="3" l="1"/>
  <c r="C61" i="3"/>
  <c r="D61" i="3"/>
  <c r="E14" i="1"/>
  <c r="C14" i="1"/>
  <c r="C15" i="1"/>
  <c r="B14" i="1"/>
  <c r="B15" i="1"/>
  <c r="D15" i="1"/>
  <c r="D7" i="1"/>
  <c r="D10" i="1"/>
  <c r="D14" i="1"/>
  <c r="F14" i="1"/>
  <c r="B5" i="1"/>
  <c r="B7" i="1"/>
  <c r="B10" i="1"/>
  <c r="D5" i="1"/>
  <c r="C5" i="1"/>
  <c r="C7" i="1"/>
  <c r="C10" i="1"/>
  <c r="F7" i="1"/>
  <c r="F10" i="1"/>
  <c r="F15" i="1"/>
  <c r="F4" i="1"/>
  <c r="F6" i="1"/>
  <c r="E6" i="1"/>
  <c r="D6" i="1"/>
  <c r="C6" i="1"/>
  <c r="B6" i="1"/>
  <c r="E15" i="1"/>
  <c r="E5" i="1"/>
  <c r="E7" i="1"/>
  <c r="E10" i="1"/>
</calcChain>
</file>

<file path=xl/sharedStrings.xml><?xml version="1.0" encoding="utf-8"?>
<sst xmlns="http://schemas.openxmlformats.org/spreadsheetml/2006/main" count="115" uniqueCount="75">
  <si>
    <t>Year 0</t>
  </si>
  <si>
    <t>Year 1</t>
  </si>
  <si>
    <t>Year 2</t>
  </si>
  <si>
    <t>Year 3</t>
  </si>
  <si>
    <t>Year 4</t>
  </si>
  <si>
    <t>FCF</t>
  </si>
  <si>
    <t>TV</t>
  </si>
  <si>
    <t>PV(FCFs)</t>
  </si>
  <si>
    <t>PV(TV)</t>
  </si>
  <si>
    <t>Levered Value</t>
  </si>
  <si>
    <t>D</t>
  </si>
  <si>
    <t>D/V</t>
  </si>
  <si>
    <r>
      <t>r</t>
    </r>
    <r>
      <rPr>
        <vertAlign val="subscript"/>
        <sz val="10"/>
        <rFont val="Arial"/>
        <family val="2"/>
      </rPr>
      <t>a</t>
    </r>
  </si>
  <si>
    <r>
      <t>r</t>
    </r>
    <r>
      <rPr>
        <vertAlign val="subscript"/>
        <sz val="10"/>
        <rFont val="Arial"/>
        <family val="2"/>
      </rPr>
      <t>d</t>
    </r>
  </si>
  <si>
    <t>T</t>
  </si>
  <si>
    <r>
      <t>r</t>
    </r>
    <r>
      <rPr>
        <vertAlign val="subscript"/>
        <sz val="10"/>
        <rFont val="Arial"/>
        <family val="2"/>
      </rPr>
      <t>e</t>
    </r>
  </si>
  <si>
    <t>WACC</t>
  </si>
  <si>
    <t>Since now we have to iterate these calculations we need to make sure that Excel is set-up for doing those iterations by itself</t>
  </si>
  <si>
    <t>To do this we need to go throught the following sequence:</t>
  </si>
  <si>
    <t>Select "Tools" and then "Options"</t>
  </si>
  <si>
    <t>Go to the "Calculation" window and mark "Automatic"</t>
  </si>
  <si>
    <t>At "Iteration" select the desired parameters (e.g. Maximum iterations = 100 and maximum change = 0.01)</t>
  </si>
  <si>
    <r>
      <t>r</t>
    </r>
    <r>
      <rPr>
        <vertAlign val="subscript"/>
        <sz val="18"/>
        <rFont val="Arial"/>
        <family val="2"/>
      </rPr>
      <t>a</t>
    </r>
  </si>
  <si>
    <r>
      <t>r</t>
    </r>
    <r>
      <rPr>
        <vertAlign val="subscript"/>
        <sz val="18"/>
        <rFont val="Arial"/>
        <family val="2"/>
      </rPr>
      <t>d</t>
    </r>
  </si>
  <si>
    <r>
      <t>r</t>
    </r>
    <r>
      <rPr>
        <vertAlign val="subscript"/>
        <sz val="18"/>
        <rFont val="Arial"/>
        <family val="2"/>
      </rPr>
      <t>e</t>
    </r>
  </si>
  <si>
    <t>Step 1</t>
  </si>
  <si>
    <t>Find the WACC such that valuation by APV = valuation with WACC</t>
  </si>
  <si>
    <r>
      <t>377,195 = 44,785 * (1.05) / (WACC</t>
    </r>
    <r>
      <rPr>
        <vertAlign val="subscript"/>
        <sz val="12"/>
        <rFont val="Arial"/>
        <family val="2"/>
      </rPr>
      <t>4</t>
    </r>
    <r>
      <rPr>
        <sz val="12"/>
        <rFont val="Arial"/>
        <family val="2"/>
      </rPr>
      <t xml:space="preserve"> - 0.05)</t>
    </r>
  </si>
  <si>
    <r>
      <t>WACC</t>
    </r>
    <r>
      <rPr>
        <vertAlign val="subscript"/>
        <sz val="12"/>
        <rFont val="Arial"/>
        <family val="2"/>
      </rPr>
      <t>4</t>
    </r>
  </si>
  <si>
    <r>
      <t>(377,195 + 44,785)/(1+WACC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>) = 359,233</t>
    </r>
  </si>
  <si>
    <r>
      <t>WACC</t>
    </r>
    <r>
      <rPr>
        <vertAlign val="subscript"/>
        <sz val="12"/>
        <rFont val="Arial"/>
        <family val="2"/>
      </rPr>
      <t>3</t>
    </r>
  </si>
  <si>
    <r>
      <t>(359,233 + 42,653)/(1+WACC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) = 341,729</t>
    </r>
  </si>
  <si>
    <r>
      <t>WACC</t>
    </r>
    <r>
      <rPr>
        <vertAlign val="subscript"/>
        <sz val="12"/>
        <rFont val="Arial"/>
        <family val="2"/>
      </rPr>
      <t>2</t>
    </r>
  </si>
  <si>
    <r>
      <t>(341,729 + 38,225)/(1+WACC</t>
    </r>
    <r>
      <rPr>
        <vertAlign val="subscript"/>
        <sz val="12"/>
        <rFont val="Arial"/>
        <family val="2"/>
      </rPr>
      <t>1</t>
    </r>
    <r>
      <rPr>
        <sz val="12"/>
        <rFont val="Arial"/>
        <family val="2"/>
      </rPr>
      <t>) = 323,361</t>
    </r>
  </si>
  <si>
    <r>
      <t>WACC</t>
    </r>
    <r>
      <rPr>
        <vertAlign val="subscript"/>
        <sz val="12"/>
        <rFont val="Arial"/>
        <family val="2"/>
      </rPr>
      <t>1</t>
    </r>
  </si>
  <si>
    <r>
      <t>(323,361 + 34,750)/(1+WACC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>) = 305,104</t>
    </r>
  </si>
  <si>
    <r>
      <t>WACC</t>
    </r>
    <r>
      <rPr>
        <vertAlign val="subscript"/>
        <sz val="12"/>
        <rFont val="Arial"/>
        <family val="2"/>
      </rPr>
      <t>0</t>
    </r>
  </si>
  <si>
    <t>Step 2</t>
  </si>
  <si>
    <r>
      <t>Find the corresponding R</t>
    </r>
    <r>
      <rPr>
        <vertAlign val="subscript"/>
        <sz val="12"/>
        <rFont val="Arial"/>
        <family val="2"/>
      </rPr>
      <t>e</t>
    </r>
    <r>
      <rPr>
        <sz val="12"/>
        <rFont val="Arial"/>
        <family val="2"/>
      </rPr>
      <t>: R</t>
    </r>
    <r>
      <rPr>
        <vertAlign val="subscript"/>
        <sz val="12"/>
        <rFont val="Arial"/>
        <family val="2"/>
      </rPr>
      <t>e</t>
    </r>
    <r>
      <rPr>
        <sz val="12"/>
        <rFont val="Arial"/>
        <family val="2"/>
      </rPr>
      <t xml:space="preserve"> = WACC + (D/E)*[WACC - (1-T)*R</t>
    </r>
    <r>
      <rPr>
        <vertAlign val="subscript"/>
        <sz val="12"/>
        <rFont val="Arial"/>
        <family val="2"/>
      </rPr>
      <t>d</t>
    </r>
    <r>
      <rPr>
        <sz val="12"/>
        <rFont val="Arial"/>
        <family val="2"/>
      </rPr>
      <t>]</t>
    </r>
  </si>
  <si>
    <t>Assumptions</t>
  </si>
  <si>
    <t>Sales</t>
  </si>
  <si>
    <t>Fixed Assets</t>
  </si>
  <si>
    <t>Sales Growth</t>
  </si>
  <si>
    <t>Given</t>
  </si>
  <si>
    <t>Cash Costs</t>
  </si>
  <si>
    <t>Tax Rate</t>
  </si>
  <si>
    <t>Working Capital</t>
  </si>
  <si>
    <t>Net Working Capital</t>
  </si>
  <si>
    <t>Discount Rate</t>
  </si>
  <si>
    <t>Growth</t>
  </si>
  <si>
    <t>Interest Rate</t>
  </si>
  <si>
    <t>Depreciation</t>
  </si>
  <si>
    <t>EBIT</t>
  </si>
  <si>
    <t>Corporate Tax</t>
  </si>
  <si>
    <t>Earnings Before Interest After Taxes</t>
  </si>
  <si>
    <t>Gross Cash Flow</t>
  </si>
  <si>
    <t>Investments into</t>
  </si>
  <si>
    <t>Unlevered Free Cash Flow</t>
  </si>
  <si>
    <t>All-Equity Value</t>
  </si>
  <si>
    <t>Debt Level</t>
  </si>
  <si>
    <t>Interest Expense</t>
  </si>
  <si>
    <t>Interest Tax Shield</t>
  </si>
  <si>
    <t>Discounted Value of Tax Shields</t>
  </si>
  <si>
    <t>Unlevered Value</t>
  </si>
  <si>
    <t>Value of Debt</t>
  </si>
  <si>
    <t>Value of Equity</t>
  </si>
  <si>
    <t>Required Equity Return</t>
  </si>
  <si>
    <t>WACC Discounted FCF</t>
  </si>
  <si>
    <t>Int</t>
  </si>
  <si>
    <t>TS</t>
  </si>
  <si>
    <t>TV(TS)</t>
  </si>
  <si>
    <t>PV(TS)</t>
  </si>
  <si>
    <t>PV(TV(TS))</t>
  </si>
  <si>
    <t>Value of TS</t>
  </si>
  <si>
    <t>APV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</si>
</sst>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%"/>
    <numFmt numFmtId="166" formatCode="_(* #,##0_);_(* \(#,##0\);_(* &quot;-&quot;??_);_(@_)"/>
    <numFmt numFmtId="167" formatCode="_(* #,##0.000_);_(* \(#,##0.000\);_(* &quot;-&quot;??_);_(@_)"/>
    <numFmt numFmtId="168" formatCode="_(* #,##0.0000_);_(* \(#,##0.00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b/>
      <sz val="18"/>
      <name val="Arial"/>
      <family val="2"/>
    </font>
    <font>
      <vertAlign val="subscript"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bscript"/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3" fillId="0" borderId="0" xfId="0" applyNumberFormat="1" applyFont="1"/>
    <xf numFmtId="164" fontId="1" fillId="0" borderId="0" xfId="0" applyNumberFormat="1" applyFont="1"/>
    <xf numFmtId="9" fontId="1" fillId="0" borderId="0" xfId="0" applyNumberFormat="1" applyFont="1"/>
    <xf numFmtId="9" fontId="2" fillId="0" borderId="0" xfId="0" applyNumberFormat="1" applyFont="1"/>
    <xf numFmtId="164" fontId="2" fillId="0" borderId="0" xfId="0" applyNumberFormat="1" applyFont="1"/>
    <xf numFmtId="3" fontId="5" fillId="0" borderId="0" xfId="0" applyNumberFormat="1" applyFont="1"/>
    <xf numFmtId="3" fontId="2" fillId="0" borderId="0" xfId="0" applyNumberFormat="1" applyFont="1"/>
    <xf numFmtId="0" fontId="7" fillId="0" borderId="0" xfId="0" applyFont="1"/>
    <xf numFmtId="0" fontId="8" fillId="0" borderId="0" xfId="0" applyFont="1"/>
    <xf numFmtId="3" fontId="8" fillId="0" borderId="0" xfId="0" applyNumberFormat="1" applyFont="1"/>
    <xf numFmtId="0" fontId="8" fillId="0" borderId="0" xfId="0" quotePrefix="1" applyFont="1"/>
    <xf numFmtId="164" fontId="7" fillId="0" borderId="0" xfId="0" applyNumberFormat="1" applyFont="1"/>
    <xf numFmtId="0" fontId="3" fillId="0" borderId="0" xfId="0" applyFont="1"/>
    <xf numFmtId="166" fontId="0" fillId="0" borderId="0" xfId="1" applyNumberFormat="1" applyFont="1"/>
    <xf numFmtId="9" fontId="0" fillId="0" borderId="0" xfId="2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6" fontId="8" fillId="0" borderId="0" xfId="1" applyNumberFormat="1" applyFont="1"/>
    <xf numFmtId="166" fontId="8" fillId="0" borderId="1" xfId="1" applyNumberFormat="1" applyFont="1" applyBorder="1"/>
    <xf numFmtId="167" fontId="8" fillId="0" borderId="0" xfId="1" applyNumberFormat="1" applyFont="1"/>
    <xf numFmtId="168" fontId="8" fillId="0" borderId="0" xfId="1" applyNumberFormat="1" applyFont="1"/>
    <xf numFmtId="166" fontId="0" fillId="0" borderId="0" xfId="0" applyNumberFormat="1"/>
    <xf numFmtId="164" fontId="0" fillId="0" borderId="0" xfId="2" applyNumberFormat="1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9" fontId="1" fillId="0" borderId="0" xfId="0" applyNumberFormat="1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workbookViewId="0">
      <selection activeCell="C20" sqref="C20"/>
    </sheetView>
  </sheetViews>
  <sheetFormatPr defaultRowHeight="15" x14ac:dyDescent="0.25"/>
  <cols>
    <col min="2" max="2" width="30" customWidth="1"/>
    <col min="3" max="7" width="11" bestFit="1" customWidth="1"/>
  </cols>
  <sheetData>
    <row r="2" spans="1:8" x14ac:dyDescent="0.25">
      <c r="A2" s="20" t="s">
        <v>39</v>
      </c>
    </row>
    <row r="3" spans="1:8" x14ac:dyDescent="0.25">
      <c r="A3" t="s">
        <v>40</v>
      </c>
      <c r="C3" s="21">
        <v>125000</v>
      </c>
    </row>
    <row r="4" spans="1:8" x14ac:dyDescent="0.25">
      <c r="A4" t="s">
        <v>41</v>
      </c>
      <c r="C4" s="21">
        <v>75000</v>
      </c>
    </row>
    <row r="5" spans="1:8" x14ac:dyDescent="0.25">
      <c r="A5" t="s">
        <v>42</v>
      </c>
      <c r="C5" s="22"/>
      <c r="D5" s="22" t="s">
        <v>43</v>
      </c>
      <c r="E5" s="22">
        <v>0.1</v>
      </c>
      <c r="F5" s="22">
        <v>0.1</v>
      </c>
      <c r="G5" s="22">
        <v>0.05</v>
      </c>
      <c r="H5" s="22">
        <v>0.05</v>
      </c>
    </row>
    <row r="6" spans="1:8" x14ac:dyDescent="0.25">
      <c r="A6" t="s">
        <v>44</v>
      </c>
      <c r="C6" s="22">
        <v>0.5</v>
      </c>
      <c r="D6" s="22"/>
      <c r="E6" s="22"/>
      <c r="F6" s="22"/>
      <c r="G6" s="22"/>
      <c r="H6" s="22"/>
    </row>
    <row r="7" spans="1:8" x14ac:dyDescent="0.25">
      <c r="A7" t="s">
        <v>45</v>
      </c>
      <c r="C7" s="22">
        <v>0.35</v>
      </c>
      <c r="D7" s="22"/>
      <c r="E7" s="22"/>
      <c r="F7" s="22"/>
      <c r="G7" s="22"/>
      <c r="H7" s="22"/>
    </row>
    <row r="8" spans="1:8" x14ac:dyDescent="0.25">
      <c r="A8" t="s">
        <v>46</v>
      </c>
      <c r="C8" s="22">
        <v>0.08</v>
      </c>
      <c r="D8" s="22"/>
      <c r="E8" s="22"/>
      <c r="F8" s="22"/>
      <c r="G8" s="22"/>
      <c r="H8" s="22"/>
    </row>
    <row r="10" spans="1:8" x14ac:dyDescent="0.25">
      <c r="A10" t="s">
        <v>47</v>
      </c>
      <c r="C10" s="21">
        <f>$C$8*D19</f>
        <v>10000</v>
      </c>
      <c r="D10" s="21">
        <f>$C$8*E19</f>
        <v>11000</v>
      </c>
      <c r="E10" s="21">
        <f>$C$8*F19</f>
        <v>12100</v>
      </c>
      <c r="F10" s="21">
        <f>$C$8*G19</f>
        <v>12705</v>
      </c>
      <c r="G10" s="21">
        <f>$C$8*H19</f>
        <v>13340.25</v>
      </c>
      <c r="H10" s="21"/>
    </row>
    <row r="11" spans="1:8" x14ac:dyDescent="0.25">
      <c r="C11" s="21"/>
      <c r="D11" s="21"/>
      <c r="E11" s="21"/>
      <c r="F11" s="21"/>
      <c r="G11" s="21"/>
    </row>
    <row r="12" spans="1:8" x14ac:dyDescent="0.25">
      <c r="A12" t="s">
        <v>48</v>
      </c>
      <c r="C12" s="22">
        <v>0.2</v>
      </c>
      <c r="D12" s="21"/>
      <c r="E12" s="21"/>
      <c r="F12" s="21"/>
      <c r="G12" s="21"/>
    </row>
    <row r="13" spans="1:8" x14ac:dyDescent="0.25">
      <c r="A13" t="s">
        <v>49</v>
      </c>
      <c r="C13" s="22">
        <v>0.05</v>
      </c>
      <c r="D13" s="21"/>
      <c r="E13" s="21"/>
      <c r="F13" s="21"/>
      <c r="G13" s="21"/>
    </row>
    <row r="14" spans="1:8" x14ac:dyDescent="0.25">
      <c r="A14" t="s">
        <v>50</v>
      </c>
      <c r="C14" s="22">
        <v>0.1</v>
      </c>
      <c r="D14" s="22">
        <v>0.1</v>
      </c>
      <c r="E14" s="22">
        <v>0.1</v>
      </c>
      <c r="F14" s="22">
        <v>0.08</v>
      </c>
      <c r="G14" s="22">
        <v>0.08</v>
      </c>
    </row>
    <row r="17" spans="1:9" ht="15.75" x14ac:dyDescent="0.25">
      <c r="A17" s="23"/>
      <c r="B17" s="23"/>
      <c r="C17" s="24" t="s">
        <v>0</v>
      </c>
      <c r="D17" s="24" t="s">
        <v>1</v>
      </c>
      <c r="E17" s="24" t="s">
        <v>2</v>
      </c>
      <c r="F17" s="24" t="s">
        <v>3</v>
      </c>
      <c r="G17" s="24" t="s">
        <v>4</v>
      </c>
    </row>
    <row r="18" spans="1:9" ht="15.75" x14ac:dyDescent="0.25">
      <c r="A18" s="16"/>
      <c r="B18" s="16"/>
      <c r="C18" s="25"/>
      <c r="D18" s="25"/>
      <c r="E18" s="25"/>
      <c r="F18" s="25"/>
      <c r="G18" s="25"/>
    </row>
    <row r="19" spans="1:9" ht="15.75" x14ac:dyDescent="0.25">
      <c r="A19" s="16" t="s">
        <v>40</v>
      </c>
      <c r="B19" s="16"/>
      <c r="C19" s="26"/>
      <c r="D19" s="26">
        <f>C3</f>
        <v>125000</v>
      </c>
      <c r="E19" s="26">
        <f>D19*(1+E5)</f>
        <v>137500</v>
      </c>
      <c r="F19" s="26">
        <f>E19*(1+F5)</f>
        <v>151250</v>
      </c>
      <c r="G19" s="26">
        <f>F19*(1+G5)</f>
        <v>158812.5</v>
      </c>
      <c r="H19" s="21">
        <f>G19*(1+H5)</f>
        <v>166753.125</v>
      </c>
      <c r="I19" s="21"/>
    </row>
    <row r="20" spans="1:9" ht="15.75" x14ac:dyDescent="0.25">
      <c r="A20" s="16" t="s">
        <v>44</v>
      </c>
      <c r="B20" s="16"/>
      <c r="C20" s="26"/>
      <c r="D20" s="26">
        <f>D19*$C$6</f>
        <v>62500</v>
      </c>
      <c r="E20" s="26">
        <f>E19*$C$6</f>
        <v>68750</v>
      </c>
      <c r="F20" s="26">
        <f>F19*$C$6</f>
        <v>75625</v>
      </c>
      <c r="G20" s="26">
        <f>G19*$C$6</f>
        <v>79406.25</v>
      </c>
    </row>
    <row r="21" spans="1:9" ht="15.75" x14ac:dyDescent="0.25">
      <c r="A21" s="16" t="s">
        <v>51</v>
      </c>
      <c r="B21" s="16"/>
      <c r="C21" s="26"/>
      <c r="D21" s="27">
        <f>D32</f>
        <v>7500</v>
      </c>
      <c r="E21" s="27">
        <f>E32</f>
        <v>8250</v>
      </c>
      <c r="F21" s="27">
        <f>F32</f>
        <v>9075</v>
      </c>
      <c r="G21" s="27">
        <f>G32</f>
        <v>9528.75</v>
      </c>
    </row>
    <row r="22" spans="1:9" ht="15.75" x14ac:dyDescent="0.25">
      <c r="A22" s="16"/>
      <c r="B22" s="16"/>
      <c r="C22" s="26"/>
      <c r="D22" s="26"/>
      <c r="E22" s="26"/>
      <c r="F22" s="26"/>
      <c r="G22" s="26"/>
    </row>
    <row r="23" spans="1:9" ht="15.75" x14ac:dyDescent="0.25">
      <c r="A23" s="16" t="s">
        <v>52</v>
      </c>
      <c r="B23" s="16"/>
      <c r="C23" s="26"/>
      <c r="D23" s="26">
        <f>D19-D20-D21</f>
        <v>55000</v>
      </c>
      <c r="E23" s="26">
        <f>E19-E20-E21</f>
        <v>60500</v>
      </c>
      <c r="F23" s="26">
        <f>F19-F20-F21</f>
        <v>66550</v>
      </c>
      <c r="G23" s="26">
        <f>G19-G20-G21</f>
        <v>69877.5</v>
      </c>
    </row>
    <row r="24" spans="1:9" ht="15.75" x14ac:dyDescent="0.25">
      <c r="A24" s="16" t="s">
        <v>53</v>
      </c>
      <c r="B24" s="16"/>
      <c r="C24" s="26"/>
      <c r="D24" s="27">
        <f>D23*$C$7</f>
        <v>19250</v>
      </c>
      <c r="E24" s="27">
        <f>E23*$C$7</f>
        <v>21175</v>
      </c>
      <c r="F24" s="27">
        <f>F23*$C$7</f>
        <v>23292.5</v>
      </c>
      <c r="G24" s="27">
        <f>G23*$C$7</f>
        <v>24457.125</v>
      </c>
    </row>
    <row r="25" spans="1:9" ht="15.75" x14ac:dyDescent="0.25">
      <c r="A25" s="16"/>
      <c r="B25" s="16"/>
      <c r="C25" s="26"/>
      <c r="D25" s="26"/>
      <c r="E25" s="26"/>
      <c r="F25" s="26"/>
      <c r="G25" s="26"/>
    </row>
    <row r="26" spans="1:9" ht="15.75" x14ac:dyDescent="0.25">
      <c r="A26" s="16" t="s">
        <v>54</v>
      </c>
      <c r="B26" s="16"/>
      <c r="C26" s="26"/>
      <c r="D26" s="26">
        <f>D23-D24</f>
        <v>35750</v>
      </c>
      <c r="E26" s="26">
        <f>E23-E24</f>
        <v>39325</v>
      </c>
      <c r="F26" s="26">
        <f>F23-F24</f>
        <v>43257.5</v>
      </c>
      <c r="G26" s="26">
        <f>G23-G24</f>
        <v>45420.375</v>
      </c>
    </row>
    <row r="27" spans="1:9" ht="15.75" x14ac:dyDescent="0.25">
      <c r="A27" s="16" t="str">
        <f>"+ Depreciation"</f>
        <v>+ Depreciation</v>
      </c>
      <c r="B27" s="16"/>
      <c r="C27" s="26"/>
      <c r="D27" s="27">
        <f>D32</f>
        <v>7500</v>
      </c>
      <c r="E27" s="27">
        <f>E32</f>
        <v>8250</v>
      </c>
      <c r="F27" s="27">
        <f>F32</f>
        <v>9075</v>
      </c>
      <c r="G27" s="27">
        <f>G32</f>
        <v>9528.75</v>
      </c>
    </row>
    <row r="28" spans="1:9" ht="15.75" x14ac:dyDescent="0.25">
      <c r="A28" s="16"/>
      <c r="B28" s="16"/>
      <c r="C28" s="26"/>
      <c r="D28" s="26"/>
      <c r="E28" s="26"/>
      <c r="F28" s="26"/>
      <c r="G28" s="26"/>
    </row>
    <row r="29" spans="1:9" ht="15.75" x14ac:dyDescent="0.25">
      <c r="A29" s="16" t="s">
        <v>55</v>
      </c>
      <c r="B29" s="16"/>
      <c r="C29" s="26"/>
      <c r="D29" s="26">
        <f>D26+D27</f>
        <v>43250</v>
      </c>
      <c r="E29" s="26">
        <f>E26+E27</f>
        <v>47575</v>
      </c>
      <c r="F29" s="26">
        <f>F26+F27</f>
        <v>52332.5</v>
      </c>
      <c r="G29" s="26">
        <f>G26+G27</f>
        <v>54949.125</v>
      </c>
    </row>
    <row r="30" spans="1:9" ht="15.75" x14ac:dyDescent="0.25">
      <c r="A30" s="16"/>
      <c r="B30" s="16"/>
      <c r="C30" s="26"/>
      <c r="D30" s="26"/>
      <c r="E30" s="26"/>
      <c r="F30" s="26"/>
      <c r="G30" s="26"/>
    </row>
    <row r="31" spans="1:9" ht="15.75" x14ac:dyDescent="0.25">
      <c r="A31" s="16" t="s">
        <v>56</v>
      </c>
      <c r="B31" s="16"/>
      <c r="C31" s="26"/>
      <c r="D31" s="26"/>
      <c r="E31" s="26"/>
      <c r="F31" s="26"/>
      <c r="G31" s="26"/>
    </row>
    <row r="32" spans="1:9" ht="15.75" x14ac:dyDescent="0.25">
      <c r="A32" s="16" t="s">
        <v>41</v>
      </c>
      <c r="B32" s="16"/>
      <c r="C32" s="26">
        <f>C4</f>
        <v>75000</v>
      </c>
      <c r="D32" s="26">
        <f>C32*0.1</f>
        <v>7500</v>
      </c>
      <c r="E32" s="26">
        <f>D32*(1+E5)</f>
        <v>8250</v>
      </c>
      <c r="F32" s="26">
        <f>E32*(1+F5)</f>
        <v>9075</v>
      </c>
      <c r="G32" s="26">
        <f>F32*(1+G5)</f>
        <v>9528.75</v>
      </c>
    </row>
    <row r="33" spans="1:8" ht="15.75" x14ac:dyDescent="0.25">
      <c r="A33" s="16" t="s">
        <v>47</v>
      </c>
      <c r="B33" s="16"/>
      <c r="C33" s="27">
        <f>C10</f>
        <v>10000</v>
      </c>
      <c r="D33" s="27">
        <f>D10-C10</f>
        <v>1000</v>
      </c>
      <c r="E33" s="27">
        <f>E10-D10</f>
        <v>1100</v>
      </c>
      <c r="F33" s="27">
        <f>F10-E10</f>
        <v>605</v>
      </c>
      <c r="G33" s="27">
        <f>G10-F10</f>
        <v>635.25</v>
      </c>
    </row>
    <row r="34" spans="1:8" ht="15.75" x14ac:dyDescent="0.25">
      <c r="A34" s="16"/>
      <c r="B34" s="16"/>
      <c r="C34" s="26"/>
      <c r="D34" s="26"/>
      <c r="E34" s="26"/>
      <c r="F34" s="26"/>
      <c r="G34" s="26"/>
    </row>
    <row r="35" spans="1:8" ht="15.75" x14ac:dyDescent="0.25">
      <c r="A35" s="16"/>
      <c r="B35" s="16"/>
      <c r="C35" s="26"/>
      <c r="D35" s="26"/>
      <c r="E35" s="26"/>
      <c r="F35" s="26"/>
      <c r="G35" s="26"/>
    </row>
    <row r="36" spans="1:8" ht="15.75" x14ac:dyDescent="0.25">
      <c r="A36" s="16" t="s">
        <v>57</v>
      </c>
      <c r="B36" s="16"/>
      <c r="C36" s="26">
        <f>-C32-C33</f>
        <v>-85000</v>
      </c>
      <c r="D36" s="26">
        <f>D29-D32-D33</f>
        <v>34750</v>
      </c>
      <c r="E36" s="26">
        <f>E29-E32-E33</f>
        <v>38225</v>
      </c>
      <c r="F36" s="26">
        <f>F29-F32-F33</f>
        <v>42652.5</v>
      </c>
      <c r="G36" s="26">
        <f>G29-G32-G33</f>
        <v>44785.125</v>
      </c>
    </row>
    <row r="37" spans="1:8" ht="15.75" x14ac:dyDescent="0.25">
      <c r="A37" s="16"/>
      <c r="B37" s="16"/>
      <c r="C37" s="26"/>
      <c r="D37" s="26"/>
      <c r="E37" s="26"/>
      <c r="F37" s="28"/>
      <c r="G37" s="29"/>
    </row>
    <row r="38" spans="1:8" ht="15.75" x14ac:dyDescent="0.25">
      <c r="A38" s="16" t="s">
        <v>58</v>
      </c>
      <c r="B38" s="16"/>
      <c r="C38" s="26">
        <f>NPV($C$12,D36:F36)+G36/($C$12-$C$13)/(1+$C$12)^3</f>
        <v>252968.75</v>
      </c>
      <c r="D38" s="26">
        <f>NPV($C$12,E36:F36)+G36/($C$12-$C$13)/(1+$C$12)^2</f>
        <v>268812.49999999994</v>
      </c>
      <c r="E38" s="26">
        <f>NPV($C$12,F36)+G36/($C$12-$C$13)/(1+$C$12)</f>
        <v>284350</v>
      </c>
      <c r="F38" s="26">
        <f>G36/($C$12-$C$13)</f>
        <v>298567.49999999994</v>
      </c>
      <c r="G38" s="26"/>
    </row>
    <row r="39" spans="1:8" ht="15.75" x14ac:dyDescent="0.25">
      <c r="A39" s="16"/>
      <c r="B39" s="16"/>
      <c r="C39" s="26"/>
      <c r="D39" s="26"/>
      <c r="E39" s="26"/>
      <c r="F39" s="26"/>
      <c r="G39" s="26"/>
    </row>
    <row r="40" spans="1:8" ht="15.75" x14ac:dyDescent="0.25">
      <c r="A40" s="16"/>
      <c r="B40" s="16"/>
      <c r="C40" s="26"/>
      <c r="D40" s="26"/>
      <c r="E40" s="26"/>
      <c r="F40" s="26"/>
      <c r="G40" s="26"/>
    </row>
    <row r="41" spans="1:8" ht="15.75" x14ac:dyDescent="0.25">
      <c r="A41" s="16"/>
      <c r="B41" s="16"/>
      <c r="C41" s="26"/>
      <c r="D41" s="26"/>
      <c r="E41" s="26"/>
      <c r="F41" s="26"/>
      <c r="G41" s="26"/>
    </row>
    <row r="42" spans="1:8" ht="15.75" x14ac:dyDescent="0.25">
      <c r="A42" s="16"/>
      <c r="B42" s="16"/>
      <c r="C42" s="26"/>
      <c r="D42" s="26"/>
      <c r="E42" s="26"/>
      <c r="F42" s="26"/>
      <c r="G42" s="26"/>
    </row>
    <row r="43" spans="1:8" ht="15.75" x14ac:dyDescent="0.25">
      <c r="A43" s="16" t="s">
        <v>59</v>
      </c>
      <c r="B43" s="16"/>
      <c r="C43" s="26">
        <v>80000</v>
      </c>
      <c r="D43" s="26">
        <f>C43-5000</f>
        <v>75000</v>
      </c>
      <c r="E43" s="26">
        <f>D43-5000</f>
        <v>70000</v>
      </c>
      <c r="F43" s="26">
        <f>E43-5000</f>
        <v>65000</v>
      </c>
      <c r="G43" s="26">
        <f>F43*(1+G5)</f>
        <v>68250</v>
      </c>
      <c r="H43" s="21"/>
    </row>
    <row r="45" spans="1:8" x14ac:dyDescent="0.25">
      <c r="A45" t="s">
        <v>60</v>
      </c>
      <c r="D45" s="30">
        <f>C43*C14</f>
        <v>8000</v>
      </c>
      <c r="E45" s="30">
        <f>D43*D14</f>
        <v>7500</v>
      </c>
      <c r="F45" s="30">
        <f>E43*E14</f>
        <v>7000</v>
      </c>
      <c r="G45" s="30">
        <f>F43*F14</f>
        <v>5200</v>
      </c>
      <c r="H45" s="30"/>
    </row>
    <row r="46" spans="1:8" x14ac:dyDescent="0.25">
      <c r="A46" t="s">
        <v>61</v>
      </c>
      <c r="D46" s="30">
        <f>D45*$C$7</f>
        <v>2800</v>
      </c>
      <c r="E46" s="30">
        <f>E45*$C$7</f>
        <v>2625</v>
      </c>
      <c r="F46" s="30">
        <f>F45*$C$7</f>
        <v>2450</v>
      </c>
      <c r="G46" s="30">
        <f>G45*$C$7</f>
        <v>1819.9999999999998</v>
      </c>
      <c r="H46" s="30"/>
    </row>
    <row r="48" spans="1:8" x14ac:dyDescent="0.25">
      <c r="A48" t="s">
        <v>62</v>
      </c>
      <c r="C48" s="21">
        <f>NPV($C$14,D46:F46)+G46/($F$14-$C$13)/(1+$C$14)^3</f>
        <v>52135.361883295751</v>
      </c>
      <c r="D48" s="21">
        <f>NPV($C$14,E46:F46)+G46/($F$14-$C$13)/(1+$C$14)^2</f>
        <v>54548.898071625328</v>
      </c>
      <c r="E48" s="21">
        <f>NPV($C$14,F46)+G46/($F$14-$C$13)/(1+$C$14)</f>
        <v>57378.787878787873</v>
      </c>
      <c r="F48" s="21">
        <f>G46/($F$14-$C$13)</f>
        <v>60666.666666666664</v>
      </c>
      <c r="G48" s="21"/>
    </row>
    <row r="51" spans="1:7" x14ac:dyDescent="0.25">
      <c r="A51" t="s">
        <v>63</v>
      </c>
      <c r="C51" s="30">
        <f>C38</f>
        <v>252968.75</v>
      </c>
      <c r="D51" s="30">
        <f>D38</f>
        <v>268812.49999999994</v>
      </c>
      <c r="E51" s="30">
        <f>E38</f>
        <v>284350</v>
      </c>
      <c r="F51" s="30">
        <f>F38</f>
        <v>298567.49999999994</v>
      </c>
      <c r="G51" s="30">
        <f>F51*(1+$C$13)</f>
        <v>313495.87499999994</v>
      </c>
    </row>
    <row r="52" spans="1:7" x14ac:dyDescent="0.25">
      <c r="A52" t="s">
        <v>62</v>
      </c>
      <c r="C52" s="30">
        <f>C48</f>
        <v>52135.361883295751</v>
      </c>
      <c r="D52" s="30">
        <f>D48</f>
        <v>54548.898071625328</v>
      </c>
      <c r="E52" s="30">
        <f>E48</f>
        <v>57378.787878787873</v>
      </c>
      <c r="F52" s="30">
        <f>F48</f>
        <v>60666.666666666664</v>
      </c>
      <c r="G52" s="30">
        <f>F52*(1+$C$13)</f>
        <v>63700</v>
      </c>
    </row>
    <row r="53" spans="1:7" x14ac:dyDescent="0.25">
      <c r="A53" t="s">
        <v>9</v>
      </c>
      <c r="C53" s="30">
        <f>C51+C52</f>
        <v>305104.11188329576</v>
      </c>
      <c r="D53" s="30">
        <f>D51+D52</f>
        <v>323361.39807162527</v>
      </c>
      <c r="E53" s="30">
        <f>E51+E52</f>
        <v>341728.78787878784</v>
      </c>
      <c r="F53" s="30">
        <f>F51+F52</f>
        <v>359234.16666666663</v>
      </c>
      <c r="G53" s="30">
        <f>G51+G52</f>
        <v>377195.87499999994</v>
      </c>
    </row>
    <row r="54" spans="1:7" x14ac:dyDescent="0.25">
      <c r="A54" t="s">
        <v>64</v>
      </c>
      <c r="C54" s="30">
        <f>C43</f>
        <v>80000</v>
      </c>
      <c r="D54" s="30">
        <f>D43</f>
        <v>75000</v>
      </c>
      <c r="E54" s="30">
        <f>E43</f>
        <v>70000</v>
      </c>
      <c r="F54" s="30">
        <f>F43</f>
        <v>65000</v>
      </c>
      <c r="G54" s="30">
        <f>G43</f>
        <v>68250</v>
      </c>
    </row>
    <row r="55" spans="1:7" x14ac:dyDescent="0.25">
      <c r="A55" t="s">
        <v>65</v>
      </c>
      <c r="C55" s="30">
        <f>C53-C54</f>
        <v>225104.11188329576</v>
      </c>
      <c r="D55" s="30">
        <f>D53-D54</f>
        <v>248361.39807162527</v>
      </c>
      <c r="E55" s="30">
        <f>E53-E54</f>
        <v>271728.78787878784</v>
      </c>
      <c r="F55" s="30">
        <f>F53-F54</f>
        <v>294234.16666666663</v>
      </c>
      <c r="G55" s="30">
        <f>G53-G54</f>
        <v>308945.87499999994</v>
      </c>
    </row>
    <row r="58" spans="1:7" x14ac:dyDescent="0.25">
      <c r="A58" t="s">
        <v>66</v>
      </c>
      <c r="C58" s="31">
        <f>$C$12+(C54-C52)/C55*($C$12-C14)</f>
        <v>0.21237855580850099</v>
      </c>
      <c r="D58" s="31">
        <f>$C$12+(D54-D52)/D55*($C$12-D14)</f>
        <v>0.20823441246794591</v>
      </c>
      <c r="E58" s="31">
        <f>$C$12+(E54-E52)/E55*($C$12-E14)</f>
        <v>0.20464478284385612</v>
      </c>
      <c r="F58" s="31">
        <f>$C$12+(F54-F52)/F55*($C$12-F14)</f>
        <v>0.20176729985470757</v>
      </c>
      <c r="G58" s="31">
        <f>$C$12+(G54-G52)/G55*($C$12-G14)</f>
        <v>0.20176729985470757</v>
      </c>
    </row>
    <row r="59" spans="1:7" x14ac:dyDescent="0.25">
      <c r="A59" t="s">
        <v>16</v>
      </c>
      <c r="C59" s="31">
        <f>C55/C53*C58+C54/C53*C14*(1-$C$7)</f>
        <v>0.17373507640108501</v>
      </c>
      <c r="D59" s="31">
        <f>D55/D53*D58+D54/D53*D14*(1-$C$7)</f>
        <v>0.17501281892227341</v>
      </c>
      <c r="E59" s="31">
        <f>E55/E53*E58+E54/E53*E14*(1-$C$7)</f>
        <v>0.17603983311238311</v>
      </c>
      <c r="F59" s="31">
        <f>F55/F53*F58+F54/F53*F14*(1-$C$7)</f>
        <v>0.17466833379341704</v>
      </c>
      <c r="G59" s="31">
        <f>G55/G53*G58+G54/G53*G14*(1-$C$7)</f>
        <v>0.17466833379341701</v>
      </c>
    </row>
    <row r="61" spans="1:7" x14ac:dyDescent="0.25">
      <c r="A61" t="s">
        <v>67</v>
      </c>
      <c r="C61" s="21">
        <f>D36/(1+C59)+E36/(1+C59)/(1+D59)+F36/(1+C59)/(1+D59)/(1+E59)+G36/(1+C59)/(1+D59)/(1+E59)/(F59-C13)</f>
        <v>305104.1118832957</v>
      </c>
      <c r="D61" s="21">
        <f>E36/(1+D59)+F36/(1+D59)/(1+E59)+G36/(1+D59)/(1+E59)/(F59-$C$13)</f>
        <v>323361.39807162527</v>
      </c>
      <c r="E61" s="21">
        <f>F36/(1+E59)+G36/(1+E59)/(F59-$C$13)</f>
        <v>341728.78787878784</v>
      </c>
      <c r="F61" s="21">
        <f>G36/(F59-$C$13)</f>
        <v>359234.16666666663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C35" sqref="C35"/>
    </sheetView>
  </sheetViews>
  <sheetFormatPr defaultRowHeight="15" x14ac:dyDescent="0.25"/>
  <cols>
    <col min="1" max="1" width="14.42578125" bestFit="1" customWidth="1"/>
  </cols>
  <sheetData>
    <row r="1" spans="1:6" x14ac:dyDescent="0.25">
      <c r="A1" s="2"/>
      <c r="B1" s="32" t="s">
        <v>0</v>
      </c>
      <c r="C1" s="32" t="s">
        <v>1</v>
      </c>
      <c r="D1" s="32" t="s">
        <v>2</v>
      </c>
      <c r="E1" s="32" t="s">
        <v>3</v>
      </c>
      <c r="F1" s="32" t="s">
        <v>4</v>
      </c>
    </row>
    <row r="2" spans="1:6" x14ac:dyDescent="0.25">
      <c r="A2" s="33"/>
      <c r="B2" s="33"/>
      <c r="C2" s="33"/>
      <c r="D2" s="33"/>
      <c r="E2" s="33"/>
      <c r="F2" s="33"/>
    </row>
    <row r="3" spans="1:6" x14ac:dyDescent="0.25">
      <c r="A3" s="4" t="s">
        <v>5</v>
      </c>
      <c r="B3" s="5"/>
      <c r="C3" s="6">
        <v>34750</v>
      </c>
      <c r="D3" s="6">
        <v>38225</v>
      </c>
      <c r="E3" s="7">
        <v>42653</v>
      </c>
      <c r="F3" s="7">
        <v>44785</v>
      </c>
    </row>
    <row r="4" spans="1:6" x14ac:dyDescent="0.25">
      <c r="A4" s="4"/>
      <c r="B4" s="5"/>
      <c r="C4" s="5"/>
      <c r="D4" s="5"/>
      <c r="E4" s="4"/>
      <c r="F4" s="4"/>
    </row>
    <row r="5" spans="1:6" ht="15.75" x14ac:dyDescent="0.3">
      <c r="A5" s="4" t="s">
        <v>12</v>
      </c>
      <c r="B5" s="34">
        <v>0.2</v>
      </c>
      <c r="C5" s="34">
        <v>0.2</v>
      </c>
      <c r="D5" s="34">
        <v>0.2</v>
      </c>
      <c r="E5" s="10">
        <v>0.2</v>
      </c>
      <c r="F5" s="10">
        <v>0.2</v>
      </c>
    </row>
    <row r="6" spans="1:6" x14ac:dyDescent="0.25">
      <c r="A6" s="4" t="s">
        <v>6</v>
      </c>
      <c r="B6" s="5"/>
      <c r="C6" s="5"/>
      <c r="D6" s="5"/>
      <c r="E6" s="4"/>
      <c r="F6" s="7">
        <f>F3*(1.05)/(F5-0.05)</f>
        <v>313494.99999999994</v>
      </c>
    </row>
    <row r="7" spans="1:6" x14ac:dyDescent="0.25">
      <c r="A7" s="4" t="s">
        <v>7</v>
      </c>
      <c r="B7" s="6">
        <f>(C7+C3)/(1+B5)</f>
        <v>101784.62577160496</v>
      </c>
      <c r="C7" s="6">
        <f>(D7+D3)/(1+C5)</f>
        <v>87391.550925925942</v>
      </c>
      <c r="D7" s="6">
        <f>(E7+E3)/(1+D5)</f>
        <v>66644.861111111124</v>
      </c>
      <c r="E7" s="7">
        <f>F3/(1+E5)</f>
        <v>37320.833333333336</v>
      </c>
      <c r="F7" s="7"/>
    </row>
    <row r="8" spans="1:6" x14ac:dyDescent="0.25">
      <c r="A8" s="4" t="s">
        <v>8</v>
      </c>
      <c r="B8" s="6">
        <f>C8/(1+B5)</f>
        <v>151183.93132716048</v>
      </c>
      <c r="C8" s="6">
        <f>D8/(1+C5)</f>
        <v>181420.71759259255</v>
      </c>
      <c r="D8" s="6">
        <f>E8/(1+D5)</f>
        <v>217704.86111111107</v>
      </c>
      <c r="E8" s="7">
        <f>F8/(1+E5)</f>
        <v>261245.83333333328</v>
      </c>
      <c r="F8" s="7">
        <f>F6</f>
        <v>313494.99999999994</v>
      </c>
    </row>
    <row r="9" spans="1:6" x14ac:dyDescent="0.25">
      <c r="A9" s="4" t="s">
        <v>63</v>
      </c>
      <c r="B9" s="6">
        <f>SUM(B7:B8)</f>
        <v>252968.55709876545</v>
      </c>
      <c r="C9" s="6">
        <f>SUM(C7:C8)</f>
        <v>268812.26851851848</v>
      </c>
      <c r="D9" s="6">
        <f>SUM(D7:D8)</f>
        <v>284349.72222222219</v>
      </c>
      <c r="E9" s="7">
        <f>SUM(E7:E8)</f>
        <v>298566.66666666663</v>
      </c>
      <c r="F9" s="7">
        <f>SUM(F7:F8)</f>
        <v>313494.99999999994</v>
      </c>
    </row>
    <row r="10" spans="1:6" x14ac:dyDescent="0.25">
      <c r="A10" s="4"/>
      <c r="B10" s="5"/>
      <c r="C10" s="5"/>
      <c r="D10" s="5"/>
      <c r="E10" s="4"/>
      <c r="F10" s="4"/>
    </row>
    <row r="11" spans="1:6" x14ac:dyDescent="0.25">
      <c r="A11" s="4" t="s">
        <v>10</v>
      </c>
      <c r="B11" s="6">
        <v>80000</v>
      </c>
      <c r="C11" s="6">
        <v>75000</v>
      </c>
      <c r="D11" s="6">
        <v>70000</v>
      </c>
      <c r="E11" s="7">
        <v>65000</v>
      </c>
      <c r="F11" s="7">
        <v>68250</v>
      </c>
    </row>
    <row r="12" spans="1:6" ht="15.75" x14ac:dyDescent="0.3">
      <c r="A12" s="4" t="s">
        <v>13</v>
      </c>
      <c r="B12" s="34">
        <v>0.1</v>
      </c>
      <c r="C12" s="34">
        <v>0.1</v>
      </c>
      <c r="D12" s="34">
        <v>0.1</v>
      </c>
      <c r="E12" s="10">
        <v>0.08</v>
      </c>
      <c r="F12" s="10">
        <v>0.08</v>
      </c>
    </row>
    <row r="13" spans="1:6" x14ac:dyDescent="0.25">
      <c r="A13" s="4" t="s">
        <v>68</v>
      </c>
      <c r="B13" s="34"/>
      <c r="C13" s="6">
        <f>B12*B11</f>
        <v>8000</v>
      </c>
      <c r="D13" s="6">
        <f>C12*C11</f>
        <v>7500</v>
      </c>
      <c r="E13" s="7">
        <f>D12*D11</f>
        <v>7000</v>
      </c>
      <c r="F13" s="7">
        <f>E12*E11</f>
        <v>5200</v>
      </c>
    </row>
    <row r="14" spans="1:6" x14ac:dyDescent="0.25">
      <c r="A14" s="4" t="s">
        <v>14</v>
      </c>
      <c r="B14" s="34">
        <v>0.35</v>
      </c>
      <c r="C14" s="34">
        <v>0.35</v>
      </c>
      <c r="D14" s="34">
        <v>0.35</v>
      </c>
      <c r="E14" s="10">
        <v>0.35</v>
      </c>
      <c r="F14" s="10">
        <v>0.35</v>
      </c>
    </row>
    <row r="15" spans="1:6" x14ac:dyDescent="0.25">
      <c r="A15" s="4" t="s">
        <v>69</v>
      </c>
      <c r="B15" s="5"/>
      <c r="C15" s="6">
        <f>C14*C13</f>
        <v>2800</v>
      </c>
      <c r="D15" s="6">
        <f>D14*D13</f>
        <v>2625</v>
      </c>
      <c r="E15" s="7">
        <f>E14*E13</f>
        <v>2450</v>
      </c>
      <c r="F15" s="7">
        <f>F14*F13</f>
        <v>1819.9999999999998</v>
      </c>
    </row>
    <row r="16" spans="1:6" x14ac:dyDescent="0.25">
      <c r="A16" s="4" t="s">
        <v>70</v>
      </c>
      <c r="B16" s="5"/>
      <c r="C16" s="6"/>
      <c r="D16" s="6"/>
      <c r="E16" s="7"/>
      <c r="F16" s="7">
        <f>F14*F11*F12/(F12-0.05)</f>
        <v>63700</v>
      </c>
    </row>
    <row r="17" spans="1:6" x14ac:dyDescent="0.25">
      <c r="A17" s="4" t="s">
        <v>71</v>
      </c>
      <c r="B17" s="6">
        <f>(C15+C17)/(1+B12)</f>
        <v>7821.7018671564101</v>
      </c>
      <c r="C17" s="6">
        <f>(D15+D17)/(1+C12)</f>
        <v>5803.8720538720527</v>
      </c>
      <c r="D17" s="6">
        <f>(E15+E17)/(1+D12)</f>
        <v>3759.2592592592582</v>
      </c>
      <c r="E17" s="7">
        <f>F15/(1+E12)</f>
        <v>1685.1851851851848</v>
      </c>
      <c r="F17" s="7"/>
    </row>
    <row r="18" spans="1:6" x14ac:dyDescent="0.25">
      <c r="A18" s="4" t="s">
        <v>72</v>
      </c>
      <c r="B18" s="6">
        <f>C18/(1+B12)</f>
        <v>44313.660016139336</v>
      </c>
      <c r="C18" s="6">
        <f>D18/(1+C12)</f>
        <v>48745.026017753276</v>
      </c>
      <c r="D18" s="6">
        <f>E18/(1+D12)</f>
        <v>53619.52861952861</v>
      </c>
      <c r="E18" s="7">
        <f>F18/(1+E12)</f>
        <v>58981.481481481474</v>
      </c>
      <c r="F18" s="7">
        <f>F16</f>
        <v>63700</v>
      </c>
    </row>
    <row r="19" spans="1:6" x14ac:dyDescent="0.25">
      <c r="A19" s="4" t="s">
        <v>73</v>
      </c>
      <c r="B19" s="6">
        <f>B18+B17</f>
        <v>52135.361883295744</v>
      </c>
      <c r="C19" s="6">
        <f>C18+C17</f>
        <v>54548.898071625328</v>
      </c>
      <c r="D19" s="6">
        <f>D18+D17</f>
        <v>57378.787878787865</v>
      </c>
      <c r="E19" s="7">
        <f>E18+E17</f>
        <v>60666.666666666657</v>
      </c>
      <c r="F19" s="7">
        <f>F18+F17</f>
        <v>63700</v>
      </c>
    </row>
    <row r="20" spans="1:6" x14ac:dyDescent="0.25">
      <c r="A20" s="4"/>
      <c r="B20" s="5"/>
      <c r="C20" s="5"/>
      <c r="D20" s="5"/>
      <c r="E20" s="4"/>
      <c r="F20" s="4"/>
    </row>
    <row r="21" spans="1:6" x14ac:dyDescent="0.25">
      <c r="A21" s="4" t="s">
        <v>74</v>
      </c>
      <c r="B21" s="6">
        <f>B19+B9</f>
        <v>305103.91898206121</v>
      </c>
      <c r="C21" s="6">
        <f>C19+C9</f>
        <v>323361.16659014381</v>
      </c>
      <c r="D21" s="6">
        <f>D19+D9</f>
        <v>341728.51010101003</v>
      </c>
      <c r="E21" s="7">
        <f>E19+E9</f>
        <v>359233.33333333326</v>
      </c>
      <c r="F21" s="7">
        <f>F19+F9</f>
        <v>377194.99999999994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3"/>
  <sheetViews>
    <sheetView zoomScale="87" zoomScaleNormal="87" workbookViewId="0">
      <selection activeCell="A23" sqref="A23"/>
    </sheetView>
  </sheetViews>
  <sheetFormatPr defaultColWidth="27.5703125" defaultRowHeight="23.25" x14ac:dyDescent="0.35"/>
  <cols>
    <col min="1" max="1" width="16.42578125" style="3" customWidth="1"/>
    <col min="2" max="2" width="10.7109375" style="3" customWidth="1"/>
    <col min="3" max="6" width="16.5703125" style="3" customWidth="1"/>
    <col min="7" max="256" width="27.5703125" style="3"/>
    <col min="257" max="257" width="16.42578125" style="3" customWidth="1"/>
    <col min="258" max="258" width="10.7109375" style="3" customWidth="1"/>
    <col min="259" max="262" width="16.5703125" style="3" customWidth="1"/>
    <col min="263" max="512" width="27.5703125" style="3"/>
    <col min="513" max="513" width="16.42578125" style="3" customWidth="1"/>
    <col min="514" max="514" width="10.7109375" style="3" customWidth="1"/>
    <col min="515" max="518" width="16.5703125" style="3" customWidth="1"/>
    <col min="519" max="768" width="27.5703125" style="3"/>
    <col min="769" max="769" width="16.42578125" style="3" customWidth="1"/>
    <col min="770" max="770" width="10.7109375" style="3" customWidth="1"/>
    <col min="771" max="774" width="16.5703125" style="3" customWidth="1"/>
    <col min="775" max="1024" width="27.5703125" style="3"/>
    <col min="1025" max="1025" width="16.42578125" style="3" customWidth="1"/>
    <col min="1026" max="1026" width="10.7109375" style="3" customWidth="1"/>
    <col min="1027" max="1030" width="16.5703125" style="3" customWidth="1"/>
    <col min="1031" max="1280" width="27.5703125" style="3"/>
    <col min="1281" max="1281" width="16.42578125" style="3" customWidth="1"/>
    <col min="1282" max="1282" width="10.7109375" style="3" customWidth="1"/>
    <col min="1283" max="1286" width="16.5703125" style="3" customWidth="1"/>
    <col min="1287" max="1536" width="27.5703125" style="3"/>
    <col min="1537" max="1537" width="16.42578125" style="3" customWidth="1"/>
    <col min="1538" max="1538" width="10.7109375" style="3" customWidth="1"/>
    <col min="1539" max="1542" width="16.5703125" style="3" customWidth="1"/>
    <col min="1543" max="1792" width="27.5703125" style="3"/>
    <col min="1793" max="1793" width="16.42578125" style="3" customWidth="1"/>
    <col min="1794" max="1794" width="10.7109375" style="3" customWidth="1"/>
    <col min="1795" max="1798" width="16.5703125" style="3" customWidth="1"/>
    <col min="1799" max="2048" width="27.5703125" style="3"/>
    <col min="2049" max="2049" width="16.42578125" style="3" customWidth="1"/>
    <col min="2050" max="2050" width="10.7109375" style="3" customWidth="1"/>
    <col min="2051" max="2054" width="16.5703125" style="3" customWidth="1"/>
    <col min="2055" max="2304" width="27.5703125" style="3"/>
    <col min="2305" max="2305" width="16.42578125" style="3" customWidth="1"/>
    <col min="2306" max="2306" width="10.7109375" style="3" customWidth="1"/>
    <col min="2307" max="2310" width="16.5703125" style="3" customWidth="1"/>
    <col min="2311" max="2560" width="27.5703125" style="3"/>
    <col min="2561" max="2561" width="16.42578125" style="3" customWidth="1"/>
    <col min="2562" max="2562" width="10.7109375" style="3" customWidth="1"/>
    <col min="2563" max="2566" width="16.5703125" style="3" customWidth="1"/>
    <col min="2567" max="2816" width="27.5703125" style="3"/>
    <col min="2817" max="2817" width="16.42578125" style="3" customWidth="1"/>
    <col min="2818" max="2818" width="10.7109375" style="3" customWidth="1"/>
    <col min="2819" max="2822" width="16.5703125" style="3" customWidth="1"/>
    <col min="2823" max="3072" width="27.5703125" style="3"/>
    <col min="3073" max="3073" width="16.42578125" style="3" customWidth="1"/>
    <col min="3074" max="3074" width="10.7109375" style="3" customWidth="1"/>
    <col min="3075" max="3078" width="16.5703125" style="3" customWidth="1"/>
    <col min="3079" max="3328" width="27.5703125" style="3"/>
    <col min="3329" max="3329" width="16.42578125" style="3" customWidth="1"/>
    <col min="3330" max="3330" width="10.7109375" style="3" customWidth="1"/>
    <col min="3331" max="3334" width="16.5703125" style="3" customWidth="1"/>
    <col min="3335" max="3584" width="27.5703125" style="3"/>
    <col min="3585" max="3585" width="16.42578125" style="3" customWidth="1"/>
    <col min="3586" max="3586" width="10.7109375" style="3" customWidth="1"/>
    <col min="3587" max="3590" width="16.5703125" style="3" customWidth="1"/>
    <col min="3591" max="3840" width="27.5703125" style="3"/>
    <col min="3841" max="3841" width="16.42578125" style="3" customWidth="1"/>
    <col min="3842" max="3842" width="10.7109375" style="3" customWidth="1"/>
    <col min="3843" max="3846" width="16.5703125" style="3" customWidth="1"/>
    <col min="3847" max="4096" width="27.5703125" style="3"/>
    <col min="4097" max="4097" width="16.42578125" style="3" customWidth="1"/>
    <col min="4098" max="4098" width="10.7109375" style="3" customWidth="1"/>
    <col min="4099" max="4102" width="16.5703125" style="3" customWidth="1"/>
    <col min="4103" max="4352" width="27.5703125" style="3"/>
    <col min="4353" max="4353" width="16.42578125" style="3" customWidth="1"/>
    <col min="4354" max="4354" width="10.7109375" style="3" customWidth="1"/>
    <col min="4355" max="4358" width="16.5703125" style="3" customWidth="1"/>
    <col min="4359" max="4608" width="27.5703125" style="3"/>
    <col min="4609" max="4609" width="16.42578125" style="3" customWidth="1"/>
    <col min="4610" max="4610" width="10.7109375" style="3" customWidth="1"/>
    <col min="4611" max="4614" width="16.5703125" style="3" customWidth="1"/>
    <col min="4615" max="4864" width="27.5703125" style="3"/>
    <col min="4865" max="4865" width="16.42578125" style="3" customWidth="1"/>
    <col min="4866" max="4866" width="10.7109375" style="3" customWidth="1"/>
    <col min="4867" max="4870" width="16.5703125" style="3" customWidth="1"/>
    <col min="4871" max="5120" width="27.5703125" style="3"/>
    <col min="5121" max="5121" width="16.42578125" style="3" customWidth="1"/>
    <col min="5122" max="5122" width="10.7109375" style="3" customWidth="1"/>
    <col min="5123" max="5126" width="16.5703125" style="3" customWidth="1"/>
    <col min="5127" max="5376" width="27.5703125" style="3"/>
    <col min="5377" max="5377" width="16.42578125" style="3" customWidth="1"/>
    <col min="5378" max="5378" width="10.7109375" style="3" customWidth="1"/>
    <col min="5379" max="5382" width="16.5703125" style="3" customWidth="1"/>
    <col min="5383" max="5632" width="27.5703125" style="3"/>
    <col min="5633" max="5633" width="16.42578125" style="3" customWidth="1"/>
    <col min="5634" max="5634" width="10.7109375" style="3" customWidth="1"/>
    <col min="5635" max="5638" width="16.5703125" style="3" customWidth="1"/>
    <col min="5639" max="5888" width="27.5703125" style="3"/>
    <col min="5889" max="5889" width="16.42578125" style="3" customWidth="1"/>
    <col min="5890" max="5890" width="10.7109375" style="3" customWidth="1"/>
    <col min="5891" max="5894" width="16.5703125" style="3" customWidth="1"/>
    <col min="5895" max="6144" width="27.5703125" style="3"/>
    <col min="6145" max="6145" width="16.42578125" style="3" customWidth="1"/>
    <col min="6146" max="6146" width="10.7109375" style="3" customWidth="1"/>
    <col min="6147" max="6150" width="16.5703125" style="3" customWidth="1"/>
    <col min="6151" max="6400" width="27.5703125" style="3"/>
    <col min="6401" max="6401" width="16.42578125" style="3" customWidth="1"/>
    <col min="6402" max="6402" width="10.7109375" style="3" customWidth="1"/>
    <col min="6403" max="6406" width="16.5703125" style="3" customWidth="1"/>
    <col min="6407" max="6656" width="27.5703125" style="3"/>
    <col min="6657" max="6657" width="16.42578125" style="3" customWidth="1"/>
    <col min="6658" max="6658" width="10.7109375" style="3" customWidth="1"/>
    <col min="6659" max="6662" width="16.5703125" style="3" customWidth="1"/>
    <col min="6663" max="6912" width="27.5703125" style="3"/>
    <col min="6913" max="6913" width="16.42578125" style="3" customWidth="1"/>
    <col min="6914" max="6914" width="10.7109375" style="3" customWidth="1"/>
    <col min="6915" max="6918" width="16.5703125" style="3" customWidth="1"/>
    <col min="6919" max="7168" width="27.5703125" style="3"/>
    <col min="7169" max="7169" width="16.42578125" style="3" customWidth="1"/>
    <col min="7170" max="7170" width="10.7109375" style="3" customWidth="1"/>
    <col min="7171" max="7174" width="16.5703125" style="3" customWidth="1"/>
    <col min="7175" max="7424" width="27.5703125" style="3"/>
    <col min="7425" max="7425" width="16.42578125" style="3" customWidth="1"/>
    <col min="7426" max="7426" width="10.7109375" style="3" customWidth="1"/>
    <col min="7427" max="7430" width="16.5703125" style="3" customWidth="1"/>
    <col min="7431" max="7680" width="27.5703125" style="3"/>
    <col min="7681" max="7681" width="16.42578125" style="3" customWidth="1"/>
    <col min="7682" max="7682" width="10.7109375" style="3" customWidth="1"/>
    <col min="7683" max="7686" width="16.5703125" style="3" customWidth="1"/>
    <col min="7687" max="7936" width="27.5703125" style="3"/>
    <col min="7937" max="7937" width="16.42578125" style="3" customWidth="1"/>
    <col min="7938" max="7938" width="10.7109375" style="3" customWidth="1"/>
    <col min="7939" max="7942" width="16.5703125" style="3" customWidth="1"/>
    <col min="7943" max="8192" width="27.5703125" style="3"/>
    <col min="8193" max="8193" width="16.42578125" style="3" customWidth="1"/>
    <col min="8194" max="8194" width="10.7109375" style="3" customWidth="1"/>
    <col min="8195" max="8198" width="16.5703125" style="3" customWidth="1"/>
    <col min="8199" max="8448" width="27.5703125" style="3"/>
    <col min="8449" max="8449" width="16.42578125" style="3" customWidth="1"/>
    <col min="8450" max="8450" width="10.7109375" style="3" customWidth="1"/>
    <col min="8451" max="8454" width="16.5703125" style="3" customWidth="1"/>
    <col min="8455" max="8704" width="27.5703125" style="3"/>
    <col min="8705" max="8705" width="16.42578125" style="3" customWidth="1"/>
    <col min="8706" max="8706" width="10.7109375" style="3" customWidth="1"/>
    <col min="8707" max="8710" width="16.5703125" style="3" customWidth="1"/>
    <col min="8711" max="8960" width="27.5703125" style="3"/>
    <col min="8961" max="8961" width="16.42578125" style="3" customWidth="1"/>
    <col min="8962" max="8962" width="10.7109375" style="3" customWidth="1"/>
    <col min="8963" max="8966" width="16.5703125" style="3" customWidth="1"/>
    <col min="8967" max="9216" width="27.5703125" style="3"/>
    <col min="9217" max="9217" width="16.42578125" style="3" customWidth="1"/>
    <col min="9218" max="9218" width="10.7109375" style="3" customWidth="1"/>
    <col min="9219" max="9222" width="16.5703125" style="3" customWidth="1"/>
    <col min="9223" max="9472" width="27.5703125" style="3"/>
    <col min="9473" max="9473" width="16.42578125" style="3" customWidth="1"/>
    <col min="9474" max="9474" width="10.7109375" style="3" customWidth="1"/>
    <col min="9475" max="9478" width="16.5703125" style="3" customWidth="1"/>
    <col min="9479" max="9728" width="27.5703125" style="3"/>
    <col min="9729" max="9729" width="16.42578125" style="3" customWidth="1"/>
    <col min="9730" max="9730" width="10.7109375" style="3" customWidth="1"/>
    <col min="9731" max="9734" width="16.5703125" style="3" customWidth="1"/>
    <col min="9735" max="9984" width="27.5703125" style="3"/>
    <col min="9985" max="9985" width="16.42578125" style="3" customWidth="1"/>
    <col min="9986" max="9986" width="10.7109375" style="3" customWidth="1"/>
    <col min="9987" max="9990" width="16.5703125" style="3" customWidth="1"/>
    <col min="9991" max="10240" width="27.5703125" style="3"/>
    <col min="10241" max="10241" width="16.42578125" style="3" customWidth="1"/>
    <col min="10242" max="10242" width="10.7109375" style="3" customWidth="1"/>
    <col min="10243" max="10246" width="16.5703125" style="3" customWidth="1"/>
    <col min="10247" max="10496" width="27.5703125" style="3"/>
    <col min="10497" max="10497" width="16.42578125" style="3" customWidth="1"/>
    <col min="10498" max="10498" width="10.7109375" style="3" customWidth="1"/>
    <col min="10499" max="10502" width="16.5703125" style="3" customWidth="1"/>
    <col min="10503" max="10752" width="27.5703125" style="3"/>
    <col min="10753" max="10753" width="16.42578125" style="3" customWidth="1"/>
    <col min="10754" max="10754" width="10.7109375" style="3" customWidth="1"/>
    <col min="10755" max="10758" width="16.5703125" style="3" customWidth="1"/>
    <col min="10759" max="11008" width="27.5703125" style="3"/>
    <col min="11009" max="11009" width="16.42578125" style="3" customWidth="1"/>
    <col min="11010" max="11010" width="10.7109375" style="3" customWidth="1"/>
    <col min="11011" max="11014" width="16.5703125" style="3" customWidth="1"/>
    <col min="11015" max="11264" width="27.5703125" style="3"/>
    <col min="11265" max="11265" width="16.42578125" style="3" customWidth="1"/>
    <col min="11266" max="11266" width="10.7109375" style="3" customWidth="1"/>
    <col min="11267" max="11270" width="16.5703125" style="3" customWidth="1"/>
    <col min="11271" max="11520" width="27.5703125" style="3"/>
    <col min="11521" max="11521" width="16.42578125" style="3" customWidth="1"/>
    <col min="11522" max="11522" width="10.7109375" style="3" customWidth="1"/>
    <col min="11523" max="11526" width="16.5703125" style="3" customWidth="1"/>
    <col min="11527" max="11776" width="27.5703125" style="3"/>
    <col min="11777" max="11777" width="16.42578125" style="3" customWidth="1"/>
    <col min="11778" max="11778" width="10.7109375" style="3" customWidth="1"/>
    <col min="11779" max="11782" width="16.5703125" style="3" customWidth="1"/>
    <col min="11783" max="12032" width="27.5703125" style="3"/>
    <col min="12033" max="12033" width="16.42578125" style="3" customWidth="1"/>
    <col min="12034" max="12034" width="10.7109375" style="3" customWidth="1"/>
    <col min="12035" max="12038" width="16.5703125" style="3" customWidth="1"/>
    <col min="12039" max="12288" width="27.5703125" style="3"/>
    <col min="12289" max="12289" width="16.42578125" style="3" customWidth="1"/>
    <col min="12290" max="12290" width="10.7109375" style="3" customWidth="1"/>
    <col min="12291" max="12294" width="16.5703125" style="3" customWidth="1"/>
    <col min="12295" max="12544" width="27.5703125" style="3"/>
    <col min="12545" max="12545" width="16.42578125" style="3" customWidth="1"/>
    <col min="12546" max="12546" width="10.7109375" style="3" customWidth="1"/>
    <col min="12547" max="12550" width="16.5703125" style="3" customWidth="1"/>
    <col min="12551" max="12800" width="27.5703125" style="3"/>
    <col min="12801" max="12801" width="16.42578125" style="3" customWidth="1"/>
    <col min="12802" max="12802" width="10.7109375" style="3" customWidth="1"/>
    <col min="12803" max="12806" width="16.5703125" style="3" customWidth="1"/>
    <col min="12807" max="13056" width="27.5703125" style="3"/>
    <col min="13057" max="13057" width="16.42578125" style="3" customWidth="1"/>
    <col min="13058" max="13058" width="10.7109375" style="3" customWidth="1"/>
    <col min="13059" max="13062" width="16.5703125" style="3" customWidth="1"/>
    <col min="13063" max="13312" width="27.5703125" style="3"/>
    <col min="13313" max="13313" width="16.42578125" style="3" customWidth="1"/>
    <col min="13314" max="13314" width="10.7109375" style="3" customWidth="1"/>
    <col min="13315" max="13318" width="16.5703125" style="3" customWidth="1"/>
    <col min="13319" max="13568" width="27.5703125" style="3"/>
    <col min="13569" max="13569" width="16.42578125" style="3" customWidth="1"/>
    <col min="13570" max="13570" width="10.7109375" style="3" customWidth="1"/>
    <col min="13571" max="13574" width="16.5703125" style="3" customWidth="1"/>
    <col min="13575" max="13824" width="27.5703125" style="3"/>
    <col min="13825" max="13825" width="16.42578125" style="3" customWidth="1"/>
    <col min="13826" max="13826" width="10.7109375" style="3" customWidth="1"/>
    <col min="13827" max="13830" width="16.5703125" style="3" customWidth="1"/>
    <col min="13831" max="14080" width="27.5703125" style="3"/>
    <col min="14081" max="14081" width="16.42578125" style="3" customWidth="1"/>
    <col min="14082" max="14082" width="10.7109375" style="3" customWidth="1"/>
    <col min="14083" max="14086" width="16.5703125" style="3" customWidth="1"/>
    <col min="14087" max="14336" width="27.5703125" style="3"/>
    <col min="14337" max="14337" width="16.42578125" style="3" customWidth="1"/>
    <col min="14338" max="14338" width="10.7109375" style="3" customWidth="1"/>
    <col min="14339" max="14342" width="16.5703125" style="3" customWidth="1"/>
    <col min="14343" max="14592" width="27.5703125" style="3"/>
    <col min="14593" max="14593" width="16.42578125" style="3" customWidth="1"/>
    <col min="14594" max="14594" width="10.7109375" style="3" customWidth="1"/>
    <col min="14595" max="14598" width="16.5703125" style="3" customWidth="1"/>
    <col min="14599" max="14848" width="27.5703125" style="3"/>
    <col min="14849" max="14849" width="16.42578125" style="3" customWidth="1"/>
    <col min="14850" max="14850" width="10.7109375" style="3" customWidth="1"/>
    <col min="14851" max="14854" width="16.5703125" style="3" customWidth="1"/>
    <col min="14855" max="15104" width="27.5703125" style="3"/>
    <col min="15105" max="15105" width="16.42578125" style="3" customWidth="1"/>
    <col min="15106" max="15106" width="10.7109375" style="3" customWidth="1"/>
    <col min="15107" max="15110" width="16.5703125" style="3" customWidth="1"/>
    <col min="15111" max="15360" width="27.5703125" style="3"/>
    <col min="15361" max="15361" width="16.42578125" style="3" customWidth="1"/>
    <col min="15362" max="15362" width="10.7109375" style="3" customWidth="1"/>
    <col min="15363" max="15366" width="16.5703125" style="3" customWidth="1"/>
    <col min="15367" max="15616" width="27.5703125" style="3"/>
    <col min="15617" max="15617" width="16.42578125" style="3" customWidth="1"/>
    <col min="15618" max="15618" width="10.7109375" style="3" customWidth="1"/>
    <col min="15619" max="15622" width="16.5703125" style="3" customWidth="1"/>
    <col min="15623" max="15872" width="27.5703125" style="3"/>
    <col min="15873" max="15873" width="16.42578125" style="3" customWidth="1"/>
    <col min="15874" max="15874" width="10.7109375" style="3" customWidth="1"/>
    <col min="15875" max="15878" width="16.5703125" style="3" customWidth="1"/>
    <col min="15879" max="16128" width="27.5703125" style="3"/>
    <col min="16129" max="16129" width="16.42578125" style="3" customWidth="1"/>
    <col min="16130" max="16130" width="10.7109375" style="3" customWidth="1"/>
    <col min="16131" max="16134" width="16.5703125" style="3" customWidth="1"/>
    <col min="16135" max="16384" width="27.5703125" style="3"/>
  </cols>
  <sheetData>
    <row r="1" spans="1:256" x14ac:dyDescent="0.3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256" s="4" customFormat="1" ht="12.75" x14ac:dyDescent="0.2">
      <c r="A2" s="4" t="s">
        <v>5</v>
      </c>
      <c r="B2" s="5"/>
      <c r="C2" s="6">
        <v>34750</v>
      </c>
      <c r="D2" s="6">
        <v>38225</v>
      </c>
      <c r="E2" s="7">
        <v>42653</v>
      </c>
      <c r="F2" s="7">
        <v>44785</v>
      </c>
    </row>
    <row r="3" spans="1:256" x14ac:dyDescent="0.35">
      <c r="A3" s="4"/>
      <c r="B3" s="4"/>
      <c r="C3" s="4"/>
      <c r="D3" s="4"/>
      <c r="E3" s="4"/>
      <c r="F3" s="4"/>
    </row>
    <row r="4" spans="1:256" x14ac:dyDescent="0.35">
      <c r="A4" s="4" t="s">
        <v>6</v>
      </c>
      <c r="B4" s="4"/>
      <c r="C4" s="4"/>
      <c r="D4" s="4"/>
      <c r="E4" s="4"/>
      <c r="F4" s="7">
        <f ca="1">F2*(1.05)/(F15-0.05)</f>
        <v>345345</v>
      </c>
    </row>
    <row r="5" spans="1:256" x14ac:dyDescent="0.35">
      <c r="A5" s="4" t="s">
        <v>7</v>
      </c>
      <c r="B5" s="7">
        <f ca="1">(C2+C5)/(1+B15)</f>
        <v>105497.34518898083</v>
      </c>
      <c r="C5" s="7">
        <f ca="1">(D2+D5)/(1+C15)</f>
        <v>89749.382381153628</v>
      </c>
      <c r="D5" s="7">
        <f ca="1">(E2+E5)/(1+D15)</f>
        <v>67891.27023847794</v>
      </c>
      <c r="E5" s="7">
        <f ca="1">(F2+F5)/(1+E15)</f>
        <v>37756.09796734422</v>
      </c>
      <c r="F5" s="7"/>
    </row>
    <row r="6" spans="1:256" x14ac:dyDescent="0.35">
      <c r="A6" s="4" t="s">
        <v>8</v>
      </c>
      <c r="B6" s="7">
        <f ca="1">C6/(1+B15)</f>
        <v>176173.37240361175</v>
      </c>
      <c r="C6" s="7">
        <f ca="1">D6/(1+C15)</f>
        <v>207905.47872995748</v>
      </c>
      <c r="D6" s="7">
        <f ca="1">E6/(1+D15)</f>
        <v>245819.56309485537</v>
      </c>
      <c r="E6" s="7">
        <f ca="1">F6/(1+E15)</f>
        <v>291143.90203265578</v>
      </c>
      <c r="F6" s="7">
        <f ca="1">F4</f>
        <v>345345</v>
      </c>
    </row>
    <row r="7" spans="1:256" x14ac:dyDescent="0.35">
      <c r="A7" s="4" t="s">
        <v>9</v>
      </c>
      <c r="B7" s="8">
        <f ca="1">SUM(B5:B6)</f>
        <v>281670.71759259258</v>
      </c>
      <c r="C7" s="7">
        <f ca="1">SUM(C5:C6)</f>
        <v>297654.86111111112</v>
      </c>
      <c r="D7" s="7">
        <f ca="1">SUM(D5:D6)</f>
        <v>313710.83333333331</v>
      </c>
      <c r="E7" s="7">
        <f ca="1">SUM(E5:E6)</f>
        <v>328900</v>
      </c>
      <c r="F7" s="7">
        <f ca="1">SUM(F5:F6)</f>
        <v>345345</v>
      </c>
    </row>
    <row r="8" spans="1:256" x14ac:dyDescent="0.35">
      <c r="A8" s="4"/>
      <c r="B8" s="4"/>
      <c r="C8" s="4"/>
      <c r="D8" s="4"/>
      <c r="E8" s="4"/>
      <c r="F8" s="4"/>
    </row>
    <row r="9" spans="1:256" x14ac:dyDescent="0.35">
      <c r="A9" s="4" t="s">
        <v>10</v>
      </c>
      <c r="B9" s="7">
        <v>80000</v>
      </c>
      <c r="C9" s="7">
        <v>75000</v>
      </c>
      <c r="D9" s="7">
        <v>70000</v>
      </c>
      <c r="E9" s="7">
        <v>65000</v>
      </c>
      <c r="F9" s="7">
        <v>68250</v>
      </c>
    </row>
    <row r="10" spans="1:256" x14ac:dyDescent="0.35">
      <c r="A10" s="4" t="s">
        <v>11</v>
      </c>
      <c r="B10" s="9">
        <f ca="1">B9/B7</f>
        <v>0.28401958387350612</v>
      </c>
      <c r="C10" s="9">
        <f ca="1">C9/C7</f>
        <v>0.25196967964854894</v>
      </c>
      <c r="D10" s="9">
        <f ca="1">D9/D7</f>
        <v>0.22313542460811842</v>
      </c>
      <c r="E10" s="9">
        <f ca="1">E9/E7</f>
        <v>0.19762845849802371</v>
      </c>
      <c r="F10" s="9">
        <f ca="1">F9/F7</f>
        <v>0.19762845849802371</v>
      </c>
    </row>
    <row r="11" spans="1:256" x14ac:dyDescent="0.35">
      <c r="A11" s="4" t="s">
        <v>12</v>
      </c>
      <c r="B11" s="10">
        <v>0.2</v>
      </c>
      <c r="C11" s="10">
        <v>0.2</v>
      </c>
      <c r="D11" s="10">
        <v>0.2</v>
      </c>
      <c r="E11" s="10">
        <v>0.2</v>
      </c>
      <c r="F11" s="10">
        <v>0.2</v>
      </c>
    </row>
    <row r="12" spans="1:256" x14ac:dyDescent="0.35">
      <c r="A12" s="4" t="s">
        <v>13</v>
      </c>
      <c r="B12" s="10">
        <v>0.1</v>
      </c>
      <c r="C12" s="10">
        <v>0.1</v>
      </c>
      <c r="D12" s="10">
        <v>0.1</v>
      </c>
      <c r="E12" s="10">
        <v>0.08</v>
      </c>
      <c r="F12" s="10">
        <v>0.08</v>
      </c>
    </row>
    <row r="13" spans="1:256" x14ac:dyDescent="0.35">
      <c r="A13" s="4" t="s">
        <v>14</v>
      </c>
      <c r="B13" s="10">
        <v>0.35</v>
      </c>
      <c r="C13" s="10">
        <v>0.35</v>
      </c>
      <c r="D13" s="10">
        <v>0.35</v>
      </c>
      <c r="E13" s="10">
        <v>0.35</v>
      </c>
      <c r="F13" s="10">
        <v>0.35</v>
      </c>
      <c r="IV13" s="11"/>
    </row>
    <row r="14" spans="1:256" x14ac:dyDescent="0.35">
      <c r="A14" s="4" t="s">
        <v>15</v>
      </c>
      <c r="B14" s="9">
        <f ca="1">B11+(B11-B12)*(1-B13)*B10/(1-B10)</f>
        <v>0.22578460602547584</v>
      </c>
      <c r="C14" s="9">
        <f ca="1">C11+(C11-C12)*(1-C13)*C10/(1-C10)</f>
        <v>0.22189487341831374</v>
      </c>
      <c r="D14" s="9">
        <f ca="1">D11+(D11-D12)*(1-D13)*D10/(1-D10)</f>
        <v>0.2186696665789033</v>
      </c>
      <c r="E14" s="9">
        <f ca="1">E11+(E11-E12)*(1-E13)*E10/(1-E10)</f>
        <v>0.21921182266009853</v>
      </c>
      <c r="F14" s="9">
        <f ca="1">F11+(F11-F12)*(1-F13)*F10/(1-F10)</f>
        <v>0.21921182266009853</v>
      </c>
      <c r="IV14" s="11"/>
    </row>
    <row r="15" spans="1:256" x14ac:dyDescent="0.35">
      <c r="A15" s="4" t="s">
        <v>16</v>
      </c>
      <c r="B15" s="9">
        <f ca="1">(1-B10)*B14+B10*(1-B13)*B12</f>
        <v>0.18011862912885457</v>
      </c>
      <c r="C15" s="9">
        <f ca="1">(1-C10)*C14+C10*(1-C13)*C12</f>
        <v>0.18236212242460159</v>
      </c>
      <c r="D15" s="9">
        <f ca="1">(1-D10)*D14+D10*(1-D13)*D12</f>
        <v>0.18438052027743171</v>
      </c>
      <c r="E15" s="9">
        <f ca="1">(1-E10)*E14+E10*(1-E13)*E12</f>
        <v>0.18616600790513835</v>
      </c>
      <c r="F15" s="9">
        <f ca="1">(1-F10)*F14+F10*(1-F13)*F12</f>
        <v>0.18616600790513835</v>
      </c>
      <c r="IV15" s="11"/>
    </row>
    <row r="16" spans="1:256" x14ac:dyDescent="0.35">
      <c r="B16" s="12"/>
      <c r="C16" s="12"/>
      <c r="D16" s="12"/>
      <c r="E16" s="12"/>
      <c r="F16" s="12"/>
      <c r="IV16" s="11"/>
    </row>
    <row r="17" spans="1:7" x14ac:dyDescent="0.35">
      <c r="A17" s="4" t="s">
        <v>17</v>
      </c>
      <c r="B17" s="4"/>
      <c r="C17" s="7"/>
      <c r="D17" s="7"/>
      <c r="E17" s="7"/>
      <c r="F17" s="7"/>
      <c r="G17" s="4"/>
    </row>
    <row r="18" spans="1:7" x14ac:dyDescent="0.35">
      <c r="A18" s="4" t="s">
        <v>18</v>
      </c>
      <c r="B18" s="4"/>
      <c r="C18" s="7"/>
      <c r="D18" s="7"/>
      <c r="E18" s="7"/>
      <c r="F18" s="7"/>
      <c r="G18" s="4"/>
    </row>
    <row r="19" spans="1:7" x14ac:dyDescent="0.35">
      <c r="A19" s="4" t="s">
        <v>19</v>
      </c>
      <c r="B19" s="7"/>
      <c r="C19" s="7"/>
      <c r="D19" s="7"/>
      <c r="E19" s="7"/>
      <c r="F19" s="7"/>
      <c r="G19" s="4"/>
    </row>
    <row r="20" spans="1:7" x14ac:dyDescent="0.35">
      <c r="A20" s="4" t="s">
        <v>20</v>
      </c>
      <c r="B20" s="7"/>
      <c r="C20" s="7"/>
      <c r="D20" s="7"/>
      <c r="E20" s="7"/>
      <c r="F20" s="7"/>
      <c r="G20" s="4"/>
    </row>
    <row r="21" spans="1:7" x14ac:dyDescent="0.35">
      <c r="A21" s="4" t="s">
        <v>21</v>
      </c>
      <c r="B21" s="8"/>
      <c r="C21" s="7"/>
      <c r="D21" s="7"/>
      <c r="E21" s="7"/>
      <c r="F21" s="7"/>
      <c r="G21" s="4"/>
    </row>
    <row r="23" spans="1:7" x14ac:dyDescent="0.35">
      <c r="B23" s="13"/>
      <c r="C23" s="14"/>
      <c r="D23" s="14"/>
      <c r="E23" s="14"/>
      <c r="F23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I5" sqref="I5"/>
    </sheetView>
  </sheetViews>
  <sheetFormatPr defaultRowHeight="15" x14ac:dyDescent="0.25"/>
  <cols>
    <col min="1" max="1" width="44.42578125" customWidth="1"/>
    <col min="2" max="6" width="13.85546875" bestFit="1" customWidth="1"/>
  </cols>
  <sheetData>
    <row r="1" spans="1:6" ht="23.25" x14ac:dyDescent="0.35">
      <c r="A1" s="3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6" ht="23.25" x14ac:dyDescent="0.35">
      <c r="A2" s="3" t="s">
        <v>5</v>
      </c>
      <c r="B2" s="3"/>
      <c r="C2" s="14">
        <v>34750</v>
      </c>
      <c r="D2" s="14">
        <v>38225</v>
      </c>
      <c r="E2" s="14">
        <v>42653</v>
      </c>
      <c r="F2" s="14">
        <v>44785</v>
      </c>
    </row>
    <row r="3" spans="1:6" ht="23.25" x14ac:dyDescent="0.35">
      <c r="A3" s="3"/>
      <c r="B3" s="3"/>
      <c r="C3" s="3"/>
      <c r="D3" s="3"/>
      <c r="E3" s="3"/>
      <c r="F3" s="3"/>
    </row>
    <row r="4" spans="1:6" ht="23.25" x14ac:dyDescent="0.35">
      <c r="A4" s="3" t="s">
        <v>6</v>
      </c>
      <c r="B4" s="3"/>
      <c r="C4" s="3"/>
      <c r="D4" s="3"/>
      <c r="E4" s="3"/>
      <c r="F4" s="14">
        <f>F2*(1.05)/(F15-0.05)</f>
        <v>377195.00000000006</v>
      </c>
    </row>
    <row r="5" spans="1:6" ht="23.25" x14ac:dyDescent="0.35">
      <c r="A5" s="3" t="s">
        <v>7</v>
      </c>
      <c r="B5" s="14">
        <f>(C2+C5)/(1+B15)</f>
        <v>107126.37903738652</v>
      </c>
      <c r="C5" s="14">
        <f>(D2+D5)/(1+C15)</f>
        <v>90987.895024180354</v>
      </c>
      <c r="D5" s="14">
        <f>(E2+E5)/(1+D15)</f>
        <v>68687.134320519239</v>
      </c>
      <c r="E5" s="14">
        <f>(F2+F5)/(1+E15)</f>
        <v>38125.621842267406</v>
      </c>
      <c r="F5" s="14"/>
    </row>
    <row r="6" spans="1:6" ht="23.25" x14ac:dyDescent="0.35">
      <c r="A6" s="3" t="s">
        <v>8</v>
      </c>
      <c r="B6" s="14">
        <f>C6/(1+B15)</f>
        <v>197977.62096261352</v>
      </c>
      <c r="C6" s="14">
        <f>D6/(1+C15)</f>
        <v>232373.1049758197</v>
      </c>
      <c r="D6" s="14">
        <f>E6/(1+D15)</f>
        <v>273041.86567948083</v>
      </c>
      <c r="E6" s="14">
        <f>F6/(1+E15)</f>
        <v>321107.37815773266</v>
      </c>
      <c r="F6" s="14">
        <f>F4</f>
        <v>377195.00000000006</v>
      </c>
    </row>
    <row r="7" spans="1:6" ht="23.25" x14ac:dyDescent="0.35">
      <c r="A7" s="3" t="s">
        <v>9</v>
      </c>
      <c r="B7" s="13">
        <f>B6+B5</f>
        <v>305104.00000000006</v>
      </c>
      <c r="C7" s="14">
        <f>C6+C5</f>
        <v>323361.00000000006</v>
      </c>
      <c r="D7" s="14">
        <f>D6+D5</f>
        <v>341729.00000000006</v>
      </c>
      <c r="E7" s="14">
        <f>E6+E5</f>
        <v>359233.00000000006</v>
      </c>
      <c r="F7" s="14">
        <f>F6+F5</f>
        <v>377195.00000000006</v>
      </c>
    </row>
    <row r="8" spans="1:6" ht="23.25" x14ac:dyDescent="0.35">
      <c r="A8" s="3"/>
      <c r="B8" s="3"/>
      <c r="C8" s="3"/>
      <c r="D8" s="3"/>
      <c r="E8" s="3"/>
      <c r="F8" s="3"/>
    </row>
    <row r="9" spans="1:6" ht="23.25" x14ac:dyDescent="0.35">
      <c r="A9" s="3" t="s">
        <v>10</v>
      </c>
      <c r="B9" s="14">
        <v>80000</v>
      </c>
      <c r="C9" s="14">
        <v>75000</v>
      </c>
      <c r="D9" s="14">
        <v>70000</v>
      </c>
      <c r="E9" s="14">
        <v>65000</v>
      </c>
      <c r="F9" s="14">
        <v>68250</v>
      </c>
    </row>
    <row r="10" spans="1:6" ht="23.25" x14ac:dyDescent="0.35">
      <c r="A10" s="3" t="s">
        <v>11</v>
      </c>
      <c r="B10" s="12">
        <f>B9/B7</f>
        <v>0.26220567413078816</v>
      </c>
      <c r="C10" s="12">
        <f>C9/C7</f>
        <v>0.23193891656693288</v>
      </c>
      <c r="D10" s="12">
        <f>D9/D7</f>
        <v>0.20484067784706592</v>
      </c>
      <c r="E10" s="12">
        <f>E9/E7</f>
        <v>0.1809410605373114</v>
      </c>
      <c r="F10" s="12">
        <f>F9/F7</f>
        <v>0.18094089264173702</v>
      </c>
    </row>
    <row r="11" spans="1:6" ht="24.75" x14ac:dyDescent="0.4">
      <c r="A11" s="3" t="s">
        <v>22</v>
      </c>
      <c r="B11" s="11">
        <v>0.2</v>
      </c>
      <c r="C11" s="11">
        <v>0.2</v>
      </c>
      <c r="D11" s="11">
        <v>0.2</v>
      </c>
      <c r="E11" s="11">
        <v>0.2</v>
      </c>
      <c r="F11" s="11">
        <v>0.2</v>
      </c>
    </row>
    <row r="12" spans="1:6" ht="24.75" x14ac:dyDescent="0.4">
      <c r="A12" s="3" t="s">
        <v>23</v>
      </c>
      <c r="B12" s="11">
        <v>0.1</v>
      </c>
      <c r="C12" s="11">
        <v>0.1</v>
      </c>
      <c r="D12" s="11">
        <v>0.1</v>
      </c>
      <c r="E12" s="11">
        <v>0.1</v>
      </c>
      <c r="F12" s="11">
        <v>0.08</v>
      </c>
    </row>
    <row r="13" spans="1:6" ht="23.25" x14ac:dyDescent="0.35">
      <c r="A13" s="3" t="s">
        <v>14</v>
      </c>
      <c r="B13" s="11">
        <v>0.35</v>
      </c>
      <c r="C13" s="11">
        <v>0.35</v>
      </c>
      <c r="D13" s="11">
        <v>0.35</v>
      </c>
      <c r="E13" s="11">
        <v>0.35</v>
      </c>
      <c r="F13" s="11">
        <v>0.35</v>
      </c>
    </row>
    <row r="14" spans="1:6" ht="24.75" x14ac:dyDescent="0.4">
      <c r="A14" s="3" t="s">
        <v>24</v>
      </c>
      <c r="B14" s="12">
        <f>B15+(B10/(1-B10))*(B15-(1-B13)*B12)</f>
        <v>0.21237739000639702</v>
      </c>
      <c r="C14" s="12">
        <f>C15+(C10/(1-C10))*(C15-(1-C13)*C12)</f>
        <v>0.20823720310354688</v>
      </c>
      <c r="D14" s="12">
        <f>D15+(D10/(1-D10))*(D15-(1-D13)*D12)</f>
        <v>0.20464138903098303</v>
      </c>
      <c r="E14" s="12">
        <f>E15+(E10/(1-E10))*(E15-(1-E13)*E12)</f>
        <v>0.19889679267791169</v>
      </c>
      <c r="F14" s="12">
        <f>F15+(F10/(1-F10))*(F15-(1-F13)*F12)</f>
        <v>0.20176730486008834</v>
      </c>
    </row>
    <row r="15" spans="1:6" ht="23.25" x14ac:dyDescent="0.35">
      <c r="A15" s="3" t="s">
        <v>16</v>
      </c>
      <c r="B15" s="12">
        <f>B28</f>
        <v>0.17373420210813362</v>
      </c>
      <c r="C15" s="12">
        <f>B26</f>
        <v>0.17501492140363251</v>
      </c>
      <c r="D15" s="12">
        <f>B24</f>
        <v>0.17603715224637062</v>
      </c>
      <c r="E15" s="12">
        <f>B22</f>
        <v>0.17466936500822583</v>
      </c>
      <c r="F15" s="12">
        <f>B20</f>
        <v>0.17466827503015681</v>
      </c>
    </row>
    <row r="16" spans="1:6" ht="23.25" x14ac:dyDescent="0.35">
      <c r="A16" s="3"/>
      <c r="B16" s="3"/>
      <c r="C16" s="14"/>
      <c r="D16" s="14"/>
      <c r="E16" s="14"/>
      <c r="F16" s="14"/>
    </row>
    <row r="17" spans="1:6" ht="15.75" x14ac:dyDescent="0.25">
      <c r="A17" s="15" t="s">
        <v>25</v>
      </c>
      <c r="B17" s="16"/>
      <c r="C17" s="17"/>
      <c r="D17" s="17"/>
      <c r="E17" s="17"/>
      <c r="F17" s="17"/>
    </row>
    <row r="18" spans="1:6" ht="15.75" x14ac:dyDescent="0.25">
      <c r="A18" s="16" t="s">
        <v>26</v>
      </c>
      <c r="B18" s="17"/>
      <c r="C18" s="17"/>
      <c r="D18" s="17"/>
      <c r="E18" s="17"/>
      <c r="F18" s="17"/>
    </row>
    <row r="19" spans="1:6" ht="19.5" x14ac:dyDescent="0.35">
      <c r="A19" s="18" t="s">
        <v>27</v>
      </c>
      <c r="B19" s="17"/>
      <c r="C19" s="17"/>
      <c r="D19" s="17"/>
      <c r="E19" s="17"/>
      <c r="F19" s="17"/>
    </row>
    <row r="20" spans="1:6" ht="19.5" x14ac:dyDescent="0.35">
      <c r="A20" s="16" t="s">
        <v>28</v>
      </c>
      <c r="B20" s="19">
        <f>0.05+44785*1.05/377195</f>
        <v>0.17466827503015681</v>
      </c>
      <c r="C20" s="17"/>
      <c r="D20" s="17"/>
      <c r="E20" s="17"/>
      <c r="F20" s="17"/>
    </row>
    <row r="21" spans="1:6" ht="19.5" x14ac:dyDescent="0.35">
      <c r="A21" s="18" t="s">
        <v>29</v>
      </c>
      <c r="B21" s="16"/>
      <c r="C21" s="16"/>
      <c r="D21" s="16"/>
      <c r="E21" s="16"/>
      <c r="F21" s="16"/>
    </row>
    <row r="22" spans="1:6" ht="19.5" x14ac:dyDescent="0.35">
      <c r="A22" s="16" t="s">
        <v>30</v>
      </c>
      <c r="B22" s="19">
        <f>(377195+44785)/359233-1</f>
        <v>0.17466936500822583</v>
      </c>
      <c r="C22" s="17"/>
      <c r="D22" s="17"/>
      <c r="E22" s="17"/>
      <c r="F22" s="17"/>
    </row>
    <row r="23" spans="1:6" ht="19.5" x14ac:dyDescent="0.35">
      <c r="A23" s="18" t="s">
        <v>31</v>
      </c>
      <c r="B23" s="16"/>
      <c r="C23" s="16"/>
      <c r="D23" s="16"/>
      <c r="E23" s="16"/>
      <c r="F23" s="16"/>
    </row>
    <row r="24" spans="1:6" ht="19.5" x14ac:dyDescent="0.35">
      <c r="A24" s="16" t="s">
        <v>32</v>
      </c>
      <c r="B24" s="19">
        <f>(359233+42653)/341729-1</f>
        <v>0.17603715224637062</v>
      </c>
      <c r="C24" s="16"/>
      <c r="D24" s="16"/>
      <c r="E24" s="16"/>
      <c r="F24" s="16"/>
    </row>
    <row r="25" spans="1:6" ht="19.5" x14ac:dyDescent="0.35">
      <c r="A25" s="18" t="s">
        <v>33</v>
      </c>
      <c r="B25" s="16"/>
      <c r="C25" s="16"/>
      <c r="D25" s="16"/>
      <c r="E25" s="16"/>
      <c r="F25" s="16"/>
    </row>
    <row r="26" spans="1:6" ht="19.5" x14ac:dyDescent="0.35">
      <c r="A26" s="16" t="s">
        <v>34</v>
      </c>
      <c r="B26" s="19">
        <f>(341729+38225)/323361-1</f>
        <v>0.17501492140363251</v>
      </c>
      <c r="C26" s="16"/>
      <c r="D26" s="16"/>
      <c r="E26" s="16"/>
      <c r="F26" s="16"/>
    </row>
    <row r="27" spans="1:6" ht="19.5" x14ac:dyDescent="0.35">
      <c r="A27" s="18" t="s">
        <v>35</v>
      </c>
      <c r="B27" s="16"/>
      <c r="C27" s="16"/>
      <c r="D27" s="16"/>
      <c r="E27" s="16"/>
      <c r="F27" s="16"/>
    </row>
    <row r="28" spans="1:6" ht="19.5" x14ac:dyDescent="0.35">
      <c r="A28" s="16" t="s">
        <v>36</v>
      </c>
      <c r="B28" s="19">
        <f>(323361+34750)/305104-1</f>
        <v>0.17373420210813362</v>
      </c>
      <c r="C28" s="16"/>
      <c r="D28" s="16"/>
      <c r="E28" s="16"/>
      <c r="F28" s="16"/>
    </row>
    <row r="29" spans="1:6" ht="15.75" x14ac:dyDescent="0.25">
      <c r="A29" s="16"/>
      <c r="B29" s="16"/>
      <c r="C29" s="16"/>
      <c r="D29" s="16"/>
      <c r="E29" s="16"/>
      <c r="F29" s="16"/>
    </row>
    <row r="30" spans="1:6" ht="15.75" x14ac:dyDescent="0.25">
      <c r="A30" s="15" t="s">
        <v>37</v>
      </c>
      <c r="B30" s="16"/>
      <c r="C30" s="16"/>
      <c r="D30" s="16"/>
      <c r="E30" s="16"/>
      <c r="F30" s="16"/>
    </row>
    <row r="31" spans="1:6" ht="19.5" x14ac:dyDescent="0.35">
      <c r="A31" s="16" t="s">
        <v>38</v>
      </c>
      <c r="B31" s="16"/>
      <c r="C31" s="16"/>
      <c r="D31" s="16"/>
      <c r="E31" s="16"/>
      <c r="F31" s="16"/>
    </row>
    <row r="32" spans="1:6" ht="23.25" x14ac:dyDescent="0.35">
      <c r="A32" s="3"/>
      <c r="B32" s="3"/>
      <c r="C32" s="3"/>
      <c r="D32" s="3"/>
      <c r="E32" s="3"/>
      <c r="F32" s="3"/>
    </row>
    <row r="33" spans="1:6" ht="23.25" x14ac:dyDescent="0.35">
      <c r="A33" s="3"/>
      <c r="B33" s="3"/>
      <c r="C33" s="3"/>
      <c r="D33" s="3"/>
      <c r="E33" s="3"/>
      <c r="F33" s="3"/>
    </row>
    <row r="34" spans="1:6" ht="23.25" x14ac:dyDescent="0.35">
      <c r="A34" s="3"/>
      <c r="B34" s="3"/>
      <c r="C34" s="3"/>
      <c r="D34" s="3"/>
      <c r="E34" s="3"/>
      <c r="F34" s="3"/>
    </row>
    <row r="35" spans="1:6" ht="23.25" x14ac:dyDescent="0.35">
      <c r="A35" s="3"/>
      <c r="B35" s="3"/>
      <c r="C35" s="3"/>
      <c r="D35" s="3"/>
      <c r="E35" s="3"/>
      <c r="F35" s="3"/>
    </row>
    <row r="36" spans="1:6" ht="23.25" x14ac:dyDescent="0.35">
      <c r="A36" s="3"/>
      <c r="B36" s="3"/>
      <c r="C36" s="3"/>
      <c r="D36" s="3"/>
      <c r="E36" s="3"/>
      <c r="F36" s="3"/>
    </row>
    <row r="37" spans="1:6" ht="23.25" x14ac:dyDescent="0.35">
      <c r="A37" s="3"/>
      <c r="B37" s="3"/>
      <c r="C37" s="3"/>
      <c r="D37" s="3"/>
      <c r="E37" s="3"/>
      <c r="F37" s="3"/>
    </row>
    <row r="38" spans="1:6" ht="23.25" x14ac:dyDescent="0.35">
      <c r="A38" s="3"/>
      <c r="B38" s="3"/>
      <c r="C38" s="3"/>
      <c r="D38" s="3"/>
      <c r="E38" s="3"/>
      <c r="F3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FCF</vt:lpstr>
      <vt:lpstr>APV</vt:lpstr>
      <vt:lpstr>WACC</vt:lpstr>
      <vt:lpstr>WACC = APV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Silva</dc:creator>
  <cp:lastModifiedBy>Rui Silva</cp:lastModifiedBy>
  <dcterms:created xsi:type="dcterms:W3CDTF">2012-10-01T13:22:57Z</dcterms:created>
  <dcterms:modified xsi:type="dcterms:W3CDTF">2012-10-03T09:09:48Z</dcterms:modified>
</cp:coreProperties>
</file>