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-Drive Uni\Teaching\Nova\Investments\Spring 2025\Weekly exercise sets\"/>
    </mc:Choice>
  </mc:AlternateContent>
  <xr:revisionPtr revIDLastSave="0" documentId="13_ncr:1_{E4926300-716B-4861-A8E4-0740BBEB7FC9}" xr6:coauthVersionLast="47" xr6:coauthVersionMax="47" xr10:uidLastSave="{00000000-0000-0000-0000-000000000000}"/>
  <bookViews>
    <workbookView xWindow="-110" yWindow="-110" windowWidth="25180" windowHeight="16140" tabRatio="782" activeTab="1" xr2:uid="{664E6C5A-28FF-44C3-8C99-443408E34737}"/>
  </bookViews>
  <sheets>
    <sheet name="Solutions &gt;" sheetId="8" r:id="rId1"/>
    <sheet name="Set 7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solver_adj" localSheetId="1" hidden="1">'Set 7'!$F$39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'Set 7'!$I$38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8.73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4" i="2" l="1"/>
  <c r="D204" i="2"/>
  <c r="G216" i="2" s="1"/>
  <c r="D203" i="2"/>
  <c r="L200" i="2"/>
  <c r="D199" i="2"/>
  <c r="L199" i="2" s="1"/>
  <c r="F171" i="2"/>
  <c r="F170" i="2"/>
  <c r="F160" i="2"/>
  <c r="F161" i="2" s="1"/>
  <c r="G160" i="2"/>
  <c r="G161" i="2" s="1"/>
  <c r="H160" i="2"/>
  <c r="H161" i="2" s="1"/>
  <c r="I160" i="2"/>
  <c r="J160" i="2"/>
  <c r="K160" i="2"/>
  <c r="K161" i="2" s="1"/>
  <c r="L160" i="2"/>
  <c r="L161" i="2" s="1"/>
  <c r="M160" i="2"/>
  <c r="M161" i="2" s="1"/>
  <c r="N160" i="2"/>
  <c r="N161" i="2" s="1"/>
  <c r="E160" i="2"/>
  <c r="E161" i="2" s="1"/>
  <c r="D157" i="2"/>
  <c r="D142" i="2"/>
  <c r="E127" i="2"/>
  <c r="D127" i="2"/>
  <c r="D89" i="2"/>
  <c r="J81" i="2"/>
  <c r="G83" i="2"/>
  <c r="D82" i="2"/>
  <c r="I80" i="2" s="1"/>
  <c r="I82" i="2" s="1"/>
  <c r="J65" i="2"/>
  <c r="J66" i="2" s="1"/>
  <c r="K213" i="2" l="1"/>
  <c r="K215" i="2" s="1"/>
  <c r="K217" i="2" s="1"/>
  <c r="L213" i="2"/>
  <c r="H213" i="2"/>
  <c r="H215" i="2" s="1"/>
  <c r="H217" i="2" s="1"/>
  <c r="J199" i="2"/>
  <c r="J201" i="2" s="1"/>
  <c r="J202" i="2" s="1"/>
  <c r="J203" i="2" s="1"/>
  <c r="J204" i="2" s="1"/>
  <c r="I213" i="2"/>
  <c r="I215" i="2" s="1"/>
  <c r="I217" i="2" s="1"/>
  <c r="L201" i="2"/>
  <c r="L202" i="2" s="1"/>
  <c r="L203" i="2" s="1"/>
  <c r="L204" i="2" s="1"/>
  <c r="K199" i="2"/>
  <c r="K201" i="2" s="1"/>
  <c r="K202" i="2" s="1"/>
  <c r="K203" i="2" s="1"/>
  <c r="K204" i="2" s="1"/>
  <c r="I199" i="2"/>
  <c r="I201" i="2" s="1"/>
  <c r="I202" i="2" s="1"/>
  <c r="I203" i="2" s="1"/>
  <c r="I204" i="2" s="1"/>
  <c r="J213" i="2"/>
  <c r="J215" i="2" s="1"/>
  <c r="J217" i="2" s="1"/>
  <c r="L215" i="2"/>
  <c r="L217" i="2" s="1"/>
  <c r="H199" i="2"/>
  <c r="H201" i="2" s="1"/>
  <c r="H202" i="2" s="1"/>
  <c r="I84" i="2"/>
  <c r="F172" i="2"/>
  <c r="I161" i="2"/>
  <c r="J161" i="2"/>
  <c r="D129" i="2"/>
  <c r="D136" i="2" s="1"/>
  <c r="D141" i="2" s="1"/>
  <c r="I88" i="2"/>
  <c r="H80" i="2"/>
  <c r="H82" i="2" s="1"/>
  <c r="J80" i="2"/>
  <c r="J82" i="2" s="1"/>
  <c r="I206" i="2" l="1"/>
  <c r="G218" i="2"/>
  <c r="K206" i="2"/>
  <c r="L206" i="2"/>
  <c r="J206" i="2"/>
  <c r="H203" i="2"/>
  <c r="H204" i="2" s="1"/>
  <c r="G205" i="2" s="1"/>
  <c r="H206" i="2"/>
  <c r="D162" i="2"/>
  <c r="L163" i="2" s="1"/>
  <c r="L164" i="2" s="1"/>
  <c r="D131" i="2"/>
  <c r="D130" i="2"/>
  <c r="H84" i="2"/>
  <c r="H88" i="2"/>
  <c r="J84" i="2"/>
  <c r="J88" i="2"/>
  <c r="G207" i="2" l="1"/>
  <c r="D209" i="2" s="1"/>
  <c r="D208" i="2"/>
  <c r="D207" i="2"/>
  <c r="D132" i="2"/>
  <c r="D140" i="2" s="1"/>
  <c r="D137" i="2" s="1"/>
  <c r="K163" i="2"/>
  <c r="K164" i="2" s="1"/>
  <c r="N163" i="2"/>
  <c r="N164" i="2" s="1"/>
  <c r="F163" i="2"/>
  <c r="F164" i="2" s="1"/>
  <c r="E163" i="2"/>
  <c r="E164" i="2" s="1"/>
  <c r="H163" i="2"/>
  <c r="H164" i="2" s="1"/>
  <c r="G163" i="2"/>
  <c r="G164" i="2" s="1"/>
  <c r="J163" i="2"/>
  <c r="J164" i="2" s="1"/>
  <c r="M163" i="2"/>
  <c r="M164" i="2" s="1"/>
  <c r="I163" i="2"/>
  <c r="I164" i="2" s="1"/>
  <c r="G85" i="2"/>
  <c r="D86" i="2" s="1"/>
  <c r="G89" i="2"/>
  <c r="G90" i="2" s="1"/>
  <c r="D217" i="2" l="1"/>
  <c r="D218" i="2" s="1"/>
  <c r="D213" i="2"/>
  <c r="D214" i="2" s="1"/>
  <c r="D165" i="2"/>
  <c r="D172" i="2" s="1"/>
  <c r="E177" i="2" s="1"/>
  <c r="G86" i="2"/>
  <c r="D181" i="2" l="1"/>
  <c r="E181" i="2" s="1"/>
  <c r="F181" i="2" s="1"/>
  <c r="D187" i="2" s="1"/>
  <c r="E178" i="2"/>
  <c r="D182" i="2" s="1"/>
  <c r="E182" i="2" s="1"/>
  <c r="D67" i="2" l="1"/>
  <c r="D70" i="2"/>
  <c r="D71" i="2" s="1"/>
  <c r="G66" i="2" s="1"/>
  <c r="D56" i="2"/>
  <c r="D57" i="2" s="1"/>
  <c r="F33" i="2"/>
  <c r="F32" i="2"/>
  <c r="F40" i="2"/>
  <c r="I38" i="2" s="1"/>
  <c r="F16" i="2"/>
  <c r="G16" i="2" s="1"/>
  <c r="H16" i="2" s="1"/>
  <c r="I16" i="2" s="1"/>
  <c r="J16" i="2" s="1"/>
  <c r="K16" i="2" s="1"/>
  <c r="L16" i="2" s="1"/>
  <c r="M16" i="2" s="1"/>
  <c r="N16" i="2" s="1"/>
  <c r="F18" i="2"/>
  <c r="F19" i="2" s="1"/>
  <c r="G18" i="2"/>
  <c r="G19" i="2" s="1"/>
  <c r="H18" i="2"/>
  <c r="H19" i="2" s="1"/>
  <c r="I18" i="2"/>
  <c r="I19" i="2" s="1"/>
  <c r="J18" i="2"/>
  <c r="J19" i="2" s="1"/>
  <c r="K18" i="2"/>
  <c r="K19" i="2" s="1"/>
  <c r="L18" i="2"/>
  <c r="L19" i="2" s="1"/>
  <c r="M18" i="2"/>
  <c r="M19" i="2" s="1"/>
  <c r="N18" i="2"/>
  <c r="N19" i="2" s="1"/>
  <c r="E18" i="2"/>
  <c r="E19" i="2" s="1"/>
  <c r="G67" i="2" l="1"/>
  <c r="G68" i="2" s="1"/>
  <c r="J67" i="2"/>
  <c r="D72" i="2"/>
  <c r="G70" i="2" s="1"/>
  <c r="G71" i="2" s="1"/>
  <c r="G72" i="2" s="1"/>
  <c r="D20" i="2"/>
  <c r="J71" i="2" l="1"/>
  <c r="J70" i="2"/>
  <c r="J21" i="2"/>
  <c r="J22" i="2" s="1"/>
  <c r="F34" i="2"/>
  <c r="L21" i="2"/>
  <c r="L22" i="2" s="1"/>
  <c r="M21" i="2"/>
  <c r="M22" i="2" s="1"/>
  <c r="K21" i="2"/>
  <c r="K22" i="2" s="1"/>
  <c r="E21" i="2"/>
  <c r="E22" i="2" s="1"/>
  <c r="F21" i="2"/>
  <c r="F22" i="2" s="1"/>
  <c r="I21" i="2"/>
  <c r="I22" i="2" s="1"/>
  <c r="N21" i="2"/>
  <c r="N22" i="2" s="1"/>
  <c r="H21" i="2"/>
  <c r="H22" i="2" s="1"/>
  <c r="G21" i="2"/>
  <c r="G22" i="2" s="1"/>
  <c r="F182" i="2" l="1"/>
  <c r="D188" i="2" s="1"/>
  <c r="D23" i="2"/>
  <c r="D34" i="2" l="1"/>
  <c r="E39" i="2" s="1"/>
  <c r="D24" i="2"/>
  <c r="E40" i="2" l="1"/>
  <c r="D44" i="2" s="1"/>
  <c r="E44" i="2" s="1"/>
  <c r="F44" i="2" s="1"/>
  <c r="I44" i="2" s="1"/>
  <c r="D43" i="2"/>
  <c r="E43" i="2" s="1"/>
  <c r="F43" i="2" s="1"/>
  <c r="I43" i="2" s="1"/>
</calcChain>
</file>

<file path=xl/sharedStrings.xml><?xml version="1.0" encoding="utf-8"?>
<sst xmlns="http://schemas.openxmlformats.org/spreadsheetml/2006/main" count="260" uniqueCount="158">
  <si>
    <t>1.</t>
  </si>
  <si>
    <t>Maturity (years)</t>
  </si>
  <si>
    <t>YTM</t>
  </si>
  <si>
    <t>Principal</t>
  </si>
  <si>
    <t>2.</t>
  </si>
  <si>
    <t>Coupon rate</t>
  </si>
  <si>
    <t>Annual</t>
  </si>
  <si>
    <t>Cash Flow Map</t>
  </si>
  <si>
    <t>3.</t>
  </si>
  <si>
    <t>4.</t>
  </si>
  <si>
    <t>Periodicity</t>
  </si>
  <si>
    <t>c.</t>
  </si>
  <si>
    <t>b.</t>
  </si>
  <si>
    <t>a.</t>
  </si>
  <si>
    <t>d.</t>
  </si>
  <si>
    <t>5.</t>
  </si>
  <si>
    <t>6.</t>
  </si>
  <si>
    <t>e.</t>
  </si>
  <si>
    <t>8.</t>
  </si>
  <si>
    <t>Coupons</t>
  </si>
  <si>
    <t>PV of Cash Flows</t>
  </si>
  <si>
    <t>CF</t>
  </si>
  <si>
    <t>My pension plan will pay me $20,500 once a year for a 10-year period.</t>
  </si>
  <si>
    <t>The first payment will come in exactly 5 years.</t>
  </si>
  <si>
    <t>The pension fund wants to immunize its position</t>
  </si>
  <si>
    <t>If the plan uses 5-year and 20-year zero-coupon bonds to construct the immunized position, how much money ought to be placed in each bond?</t>
  </si>
  <si>
    <t>What will be the face value of the holdings in each zero?</t>
  </si>
  <si>
    <t>What is the duration of its obligation to me?</t>
  </si>
  <si>
    <t>The current interest rate is 10% per year.</t>
  </si>
  <si>
    <t xml:space="preserve">A bond with 7 years maturity and modified duration of 3.5 is currently trading at 120. </t>
  </si>
  <si>
    <t>What is the expected bond price if interest rates increase 0.5%?</t>
  </si>
  <si>
    <t>Ignore convexity effects</t>
  </si>
  <si>
    <t>Consider a 10-year zero coupon bond with a yield of 12%.</t>
  </si>
  <si>
    <t>If the market yield increases by 50 basis points, what will be the actual percentage change in the bond’s price?</t>
  </si>
  <si>
    <t>Present both a first and second order approximation of the change in price and compare them to the actual change in the price.</t>
  </si>
  <si>
    <t>Find the duration of a 8% coupon bond making annual coupon payments if it has 3 years until maturity and has a yield to maturity of 8%.</t>
  </si>
  <si>
    <t>What is the duration if the yield to maturity is 12%?</t>
  </si>
  <si>
    <t>Explain the differences in duration you find.</t>
  </si>
  <si>
    <t>Which of the following is not true?</t>
  </si>
  <si>
    <t>Ceteris paribus, the duration of a bond increases with time to maturity.</t>
  </si>
  <si>
    <t>Given time to maturity, the duration of a zero-coupon decreases with yield to maturity.</t>
  </si>
  <si>
    <t>Given time to maturity and yield to maturity, the duration of a bond is higher when the coupon rate is lower.</t>
  </si>
  <si>
    <t>Duration is a better measure of price sensitivity to interest rate changes than is time to maturity.</t>
  </si>
  <si>
    <t>All of the options</t>
  </si>
  <si>
    <t>The basic purpose of immunization is to</t>
  </si>
  <si>
    <t>eliminate default risk.</t>
  </si>
  <si>
    <t>produce a zero net-interest-rate risk by offsetting price and default risk between assets and liabilities.</t>
  </si>
  <si>
    <t>offset price and liquidity risk.</t>
  </si>
  <si>
    <t>eliminate default risk and produce a zero net-interest-rate risk.</t>
  </si>
  <si>
    <t>produce a zero net-interest-rate risk by offsetting price and reinvestment risk between assets and liabilities</t>
  </si>
  <si>
    <t>7.</t>
  </si>
  <si>
    <t>An insurance company must make payments to a customer of 10 million in 1 year and 6 million in 5 years.</t>
  </si>
  <si>
    <t xml:space="preserve">If the company wants to fully fund and immunize its obligation to this customer with a single issue of a zero-coupon bond, what maturity must it purchase? </t>
  </si>
  <si>
    <t>What must be the face value and market value of that zero-coupon bond?</t>
  </si>
  <si>
    <t>The yield curve is flat at 8%.</t>
  </si>
  <si>
    <t>My pension plan will pay me €12,000 once a year for a 10-year period.</t>
  </si>
  <si>
    <t>The pension fund wants to immunize its position.</t>
  </si>
  <si>
    <t>What is the duration of the pension fund’s obligation to me?</t>
  </si>
  <si>
    <t>The current interest rate is 12% per year.</t>
  </si>
  <si>
    <t>If interest rates change by 50bp what would be the new approximate price of a par value bond with a coupon rate of 8% paid annually and a remaining time to maturity of 5 years?</t>
  </si>
  <si>
    <t>Years (as of now t=0)</t>
  </si>
  <si>
    <t>Annual Payment</t>
  </si>
  <si>
    <t>Interest rate</t>
  </si>
  <si>
    <t>PV of CF (at t=0)</t>
  </si>
  <si>
    <t>PV of CF (Total)</t>
  </si>
  <si>
    <t>Duration</t>
  </si>
  <si>
    <t xml:space="preserve">Years </t>
  </si>
  <si>
    <t>weight of PV CF</t>
  </si>
  <si>
    <t>weight PV CF x years</t>
  </si>
  <si>
    <t>Durations</t>
  </si>
  <si>
    <t>5y Bond</t>
  </si>
  <si>
    <t>20y Bond</t>
  </si>
  <si>
    <t>Note: for zero-coupon bonds, Duration = Maturity</t>
  </si>
  <si>
    <t>Target Duration</t>
  </si>
  <si>
    <t>x</t>
  </si>
  <si>
    <t>(1-x)</t>
  </si>
  <si>
    <t>Funds allocation</t>
  </si>
  <si>
    <t>Option 1 (Manual)</t>
  </si>
  <si>
    <t>Option 2 (Goal Seek)</t>
  </si>
  <si>
    <t>Position</t>
  </si>
  <si>
    <t>Face Value</t>
  </si>
  <si>
    <t>Price / PV CF</t>
  </si>
  <si>
    <t>weights</t>
  </si>
  <si>
    <t>Weights</t>
  </si>
  <si>
    <t>Immunized Position</t>
  </si>
  <si>
    <t># bonds</t>
  </si>
  <si>
    <t>value</t>
  </si>
  <si>
    <t>&gt;&gt;&gt;</t>
  </si>
  <si>
    <t>at the end of 20y</t>
  </si>
  <si>
    <t>at the end of 5y</t>
  </si>
  <si>
    <t>Principal Value</t>
  </si>
  <si>
    <t>Price 0</t>
  </si>
  <si>
    <t>Modified Duration</t>
  </si>
  <si>
    <t>Interet Rate Change</t>
  </si>
  <si>
    <t>Change in Price</t>
  </si>
  <si>
    <t>Price 1</t>
  </si>
  <si>
    <t>&gt;&gt; The duration of a zero-coupon bond is equal to time to maturity and is independent of yield to maturity.</t>
  </si>
  <si>
    <t>&gt;&gt; When a portfolio is immunized, price risk and reinvestment risk exactly offset each other resulting in zero net-interest-rate risk.</t>
  </si>
  <si>
    <t>Maturity</t>
  </si>
  <si>
    <t>Change in YTM</t>
  </si>
  <si>
    <t>First order Approximation</t>
  </si>
  <si>
    <t>Expected Price Change</t>
  </si>
  <si>
    <t>2nd order Approx</t>
  </si>
  <si>
    <t>1st order Approx</t>
  </si>
  <si>
    <t>Bond Price 0</t>
  </si>
  <si>
    <t>Convexity</t>
  </si>
  <si>
    <t>Price Change</t>
  </si>
  <si>
    <t>% Change in Price</t>
  </si>
  <si>
    <t>Bond Price 1</t>
  </si>
  <si>
    <t>Actual Price Change</t>
  </si>
  <si>
    <t>New YTM</t>
  </si>
  <si>
    <t>Dif. Approx. and Actual Price Change</t>
  </si>
  <si>
    <t xml:space="preserve">Coupon </t>
  </si>
  <si>
    <t>Time to Maturity</t>
  </si>
  <si>
    <t>YTM a)</t>
  </si>
  <si>
    <t>PV of CF</t>
  </si>
  <si>
    <t>YTM b)</t>
  </si>
  <si>
    <t>Bond Price a)</t>
  </si>
  <si>
    <t>Bond Price b)</t>
  </si>
  <si>
    <t>Duration a)</t>
  </si>
  <si>
    <t>Duration b)</t>
  </si>
  <si>
    <t>At lower yields the more distant coupon payments made by the bond have relatively greater present values and account for a greater share of the bond's total value.</t>
  </si>
  <si>
    <t>Thus in the weighted-average calculation of duration, the distant payments receive greater weights, which results in a higher duration measure.</t>
  </si>
  <si>
    <t>Answer:</t>
  </si>
  <si>
    <t>Duration at the YTM of 8% is greater than duration at YTM of 12%.</t>
  </si>
  <si>
    <t>The result reinforces the negative correlation between duration and YTM (and coupon rate).</t>
  </si>
  <si>
    <t>Obligations</t>
  </si>
  <si>
    <t>A</t>
  </si>
  <si>
    <t>B</t>
  </si>
  <si>
    <t>Principal (in M)</t>
  </si>
  <si>
    <t>Total Exposure</t>
  </si>
  <si>
    <t>weight A</t>
  </si>
  <si>
    <t>weight B</t>
  </si>
  <si>
    <t>Company needs to purchase 13,34 M in bonds with a maturity of 2,22 years</t>
  </si>
  <si>
    <t>Market Value</t>
  </si>
  <si>
    <t>Same as the total exposure</t>
  </si>
  <si>
    <t>Zero-coupon bonds</t>
  </si>
  <si>
    <t>MV = PV of CF</t>
  </si>
  <si>
    <t>1st Payment (year)</t>
  </si>
  <si>
    <t>PV CF</t>
  </si>
  <si>
    <t>To achieve an immunized position, allocate funds to match the duration x PV of CF of both positions</t>
  </si>
  <si>
    <t>Weights (manual)</t>
  </si>
  <si>
    <t>Change in Int. Rate</t>
  </si>
  <si>
    <t>Time to Maturity (y)</t>
  </si>
  <si>
    <t>Cash Flows</t>
  </si>
  <si>
    <t>weight x years</t>
  </si>
  <si>
    <t>Trading at par value</t>
  </si>
  <si>
    <t>Exp. Price change</t>
  </si>
  <si>
    <t>PV x ( t + t^2 )</t>
  </si>
  <si>
    <t>Second order Approximation</t>
  </si>
  <si>
    <t>With Approximation</t>
  </si>
  <si>
    <t>With No Approximation</t>
  </si>
  <si>
    <t>Solutions &gt;&gt;&gt;</t>
  </si>
  <si>
    <t>Estimate the new price using both a first order and a second order approximation.</t>
  </si>
  <si>
    <t>Compare the obtained results.</t>
  </si>
  <si>
    <t>Solutions</t>
  </si>
  <si>
    <t>Exercise Set - Week 3</t>
  </si>
  <si>
    <t>Change in Price = - Modified Duration x Change in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</si>
</sst>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[$$-409]#,##0.00"/>
    <numFmt numFmtId="165" formatCode="#,##0.00\ &quot;€&quot;"/>
    <numFmt numFmtId="166" formatCode="0.00000000000000"/>
    <numFmt numFmtId="167" formatCode="[$$-409]#,##0.0"/>
    <numFmt numFmtId="168" formatCode="[$$-409]#,##0"/>
    <numFmt numFmtId="169" formatCode="0.0"/>
    <numFmt numFmtId="171" formatCode="0.000"/>
    <numFmt numFmtId="172" formatCode="0.0%"/>
    <numFmt numFmtId="173" formatCode="0.000%"/>
    <numFmt numFmtId="174" formatCode="#,##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vertical="center"/>
    </xf>
    <xf numFmtId="0" fontId="4" fillId="0" borderId="0" xfId="0" applyFont="1"/>
    <xf numFmtId="10" fontId="4" fillId="0" borderId="0" xfId="1" applyNumberFormat="1" applyFont="1" applyFill="1" applyBorder="1"/>
    <xf numFmtId="0" fontId="0" fillId="0" borderId="0" xfId="0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2" fillId="2" borderId="1" xfId="1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8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3" borderId="2" xfId="0" applyFill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6" fillId="0" borderId="0" xfId="3" applyFont="1"/>
    <xf numFmtId="0" fontId="7" fillId="0" borderId="0" xfId="3" applyFont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173" fontId="0" fillId="0" borderId="1" xfId="1" applyNumberFormat="1" applyFont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center" vertical="center"/>
    </xf>
    <xf numFmtId="0" fontId="8" fillId="0" borderId="0" xfId="3" applyFont="1"/>
    <xf numFmtId="0" fontId="9" fillId="0" borderId="0" xfId="0" applyFont="1" applyAlignment="1">
      <alignment vertical="center"/>
    </xf>
    <xf numFmtId="172" fontId="0" fillId="0" borderId="1" xfId="1" applyNumberFormat="1" applyFont="1" applyBorder="1" applyAlignment="1">
      <alignment horizontal="center" vertical="center"/>
    </xf>
    <xf numFmtId="174" fontId="0" fillId="0" borderId="1" xfId="0" applyNumberFormat="1" applyBorder="1" applyAlignment="1">
      <alignment horizontal="center" vertical="center"/>
    </xf>
    <xf numFmtId="174" fontId="0" fillId="2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</cellXfs>
  <cellStyles count="6">
    <cellStyle name="Comma 2" xfId="2" xr:uid="{A7DC269D-EF9C-4FD8-8BDF-A92156FED3E6}"/>
    <cellStyle name="Comma 2 2" xfId="5" xr:uid="{ECDC0EE2-13D7-4818-A8D3-E83A6F7A4899}"/>
    <cellStyle name="Normal" xfId="0" builtinId="0"/>
    <cellStyle name="Normal 2" xfId="3" xr:uid="{0BED6302-F4F9-44A6-A7FB-B6F5B4FAE99B}"/>
    <cellStyle name="Per cent" xfId="1" builtinId="5"/>
    <cellStyle name="Percent 2" xfId="4" xr:uid="{924E495C-4C8B-4F5B-82A3-7C5B34FA4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3612-132F-4DCC-96F2-D8918757A912}">
  <sheetPr>
    <tabColor theme="0" tint="-0.249977111117893"/>
  </sheetPr>
  <dimension ref="A1:F7"/>
  <sheetViews>
    <sheetView showGridLines="0" workbookViewId="0">
      <selection activeCell="E7" sqref="E7"/>
    </sheetView>
  </sheetViews>
  <sheetFormatPr defaultColWidth="0" defaultRowHeight="14.5" customHeight="1" zeroHeight="1" x14ac:dyDescent="0.35"/>
  <cols>
    <col min="1" max="6" width="8.81640625" customWidth="1"/>
    <col min="7" max="16384" width="8.81640625" hidden="1"/>
  </cols>
  <sheetData>
    <row r="1" spans="1:6" x14ac:dyDescent="0.35">
      <c r="A1" s="54"/>
      <c r="B1" s="54"/>
      <c r="C1" s="54"/>
      <c r="D1" s="54"/>
      <c r="E1" s="54"/>
      <c r="F1" s="54"/>
    </row>
    <row r="2" spans="1:6" x14ac:dyDescent="0.35">
      <c r="A2" s="54"/>
      <c r="B2" s="54"/>
      <c r="C2" s="54"/>
      <c r="D2" s="54"/>
      <c r="E2" s="54"/>
      <c r="F2" s="54"/>
    </row>
    <row r="3" spans="1:6" ht="18.5" x14ac:dyDescent="0.35">
      <c r="A3" s="54"/>
      <c r="B3" s="55" t="s">
        <v>152</v>
      </c>
      <c r="C3" s="54"/>
      <c r="D3" s="54"/>
      <c r="E3" s="54"/>
      <c r="F3" s="54"/>
    </row>
    <row r="4" spans="1:6" x14ac:dyDescent="0.35">
      <c r="A4" s="54"/>
      <c r="B4" s="54"/>
      <c r="C4" s="54"/>
      <c r="D4" s="54"/>
      <c r="E4" s="54"/>
      <c r="F4" s="54"/>
    </row>
    <row r="5" spans="1:6" x14ac:dyDescent="0.35">
      <c r="A5" s="54"/>
      <c r="B5" s="54"/>
      <c r="C5" s="54"/>
      <c r="D5" s="54"/>
      <c r="E5" s="54"/>
      <c r="F5" s="54"/>
    </row>
    <row r="6" spans="1:6" x14ac:dyDescent="0.35">
      <c r="A6" s="54"/>
      <c r="B6" s="54"/>
      <c r="C6" s="54"/>
      <c r="D6" s="54"/>
      <c r="E6" s="54"/>
      <c r="F6" s="54"/>
    </row>
    <row r="7" spans="1:6" x14ac:dyDescent="0.35">
      <c r="A7" s="54"/>
      <c r="B7" s="54"/>
      <c r="C7" s="54"/>
      <c r="D7" s="54"/>
      <c r="E7" s="54"/>
      <c r="F7" s="5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C873-1FB7-42C1-9255-0EA1E1AB3B27}">
  <sheetPr>
    <tabColor theme="0"/>
  </sheetPr>
  <dimension ref="B1:N218"/>
  <sheetViews>
    <sheetView showGridLines="0" tabSelected="1" topLeftCell="A138" zoomScale="70" zoomScaleNormal="70" workbookViewId="0">
      <selection activeCell="F225" sqref="F225"/>
    </sheetView>
  </sheetViews>
  <sheetFormatPr defaultColWidth="8.81640625" defaultRowHeight="14.5" outlineLevelRow="1" x14ac:dyDescent="0.35"/>
  <cols>
    <col min="1" max="1" width="3.6328125" style="1" customWidth="1"/>
    <col min="2" max="2" width="3" style="1" customWidth="1"/>
    <col min="3" max="3" width="19.08984375" style="1" customWidth="1"/>
    <col min="4" max="14" width="18.08984375" style="1" customWidth="1"/>
    <col min="15" max="16384" width="8.81640625" style="1"/>
  </cols>
  <sheetData>
    <row r="1" spans="2:14" x14ac:dyDescent="0.35">
      <c r="B1" s="2"/>
    </row>
    <row r="2" spans="2:14" ht="18.5" x14ac:dyDescent="0.35">
      <c r="B2" s="3" t="s">
        <v>155</v>
      </c>
    </row>
    <row r="3" spans="2:14" x14ac:dyDescent="0.35">
      <c r="B3" s="2" t="s">
        <v>156</v>
      </c>
    </row>
    <row r="4" spans="2:14" x14ac:dyDescent="0.35">
      <c r="B4" s="2"/>
      <c r="K4" s="9"/>
      <c r="L4" s="9"/>
      <c r="M4" s="9"/>
      <c r="N4" s="9"/>
    </row>
    <row r="5" spans="2:14" x14ac:dyDescent="0.35">
      <c r="B5" s="22" t="s">
        <v>0</v>
      </c>
      <c r="C5" s="1" t="s">
        <v>22</v>
      </c>
      <c r="K5" s="10"/>
      <c r="L5" s="9"/>
      <c r="M5" s="9"/>
      <c r="N5" s="9"/>
    </row>
    <row r="6" spans="2:14" x14ac:dyDescent="0.35">
      <c r="B6" s="2"/>
      <c r="C6" s="1" t="s">
        <v>23</v>
      </c>
      <c r="K6" s="10"/>
      <c r="L6" s="9"/>
      <c r="M6" s="9"/>
      <c r="N6" s="9"/>
    </row>
    <row r="7" spans="2:14" x14ac:dyDescent="0.35">
      <c r="C7" s="1" t="s">
        <v>24</v>
      </c>
    </row>
    <row r="9" spans="2:14" x14ac:dyDescent="0.35">
      <c r="B9" s="2" t="s">
        <v>13</v>
      </c>
      <c r="C9" s="1" t="s">
        <v>27</v>
      </c>
    </row>
    <row r="10" spans="2:14" x14ac:dyDescent="0.35">
      <c r="B10" s="2"/>
      <c r="C10" s="1" t="s">
        <v>28</v>
      </c>
    </row>
    <row r="11" spans="2:14" hidden="1" outlineLevel="1" x14ac:dyDescent="0.35">
      <c r="B11" s="2"/>
    </row>
    <row r="12" spans="2:14" hidden="1" outlineLevel="1" x14ac:dyDescent="0.35">
      <c r="B12" s="2"/>
      <c r="C12" s="4" t="s">
        <v>61</v>
      </c>
      <c r="D12" s="23">
        <v>20500</v>
      </c>
    </row>
    <row r="13" spans="2:14" hidden="1" outlineLevel="1" x14ac:dyDescent="0.35">
      <c r="B13" s="2"/>
      <c r="C13" s="4" t="s">
        <v>1</v>
      </c>
      <c r="D13" s="5">
        <v>10</v>
      </c>
    </row>
    <row r="14" spans="2:14" hidden="1" outlineLevel="1" x14ac:dyDescent="0.35">
      <c r="B14" s="2"/>
      <c r="C14" s="4" t="s">
        <v>62</v>
      </c>
      <c r="D14" s="12">
        <v>0.1</v>
      </c>
    </row>
    <row r="15" spans="2:14" hidden="1" outlineLevel="1" x14ac:dyDescent="0.35">
      <c r="B15" s="2"/>
    </row>
    <row r="16" spans="2:14" hidden="1" outlineLevel="1" x14ac:dyDescent="0.35">
      <c r="B16" s="2"/>
      <c r="C16" s="1" t="s">
        <v>66</v>
      </c>
      <c r="D16" s="11"/>
      <c r="E16" s="11">
        <v>1</v>
      </c>
      <c r="F16" s="11">
        <f>E16+1</f>
        <v>2</v>
      </c>
      <c r="G16" s="11">
        <f t="shared" ref="G16:N16" si="0">F16+1</f>
        <v>3</v>
      </c>
      <c r="H16" s="11">
        <f t="shared" si="0"/>
        <v>4</v>
      </c>
      <c r="I16" s="11">
        <f t="shared" si="0"/>
        <v>5</v>
      </c>
      <c r="J16" s="11">
        <f t="shared" si="0"/>
        <v>6</v>
      </c>
      <c r="K16" s="11">
        <f t="shared" si="0"/>
        <v>7</v>
      </c>
      <c r="L16" s="11">
        <f t="shared" si="0"/>
        <v>8</v>
      </c>
      <c r="M16" s="11">
        <f t="shared" si="0"/>
        <v>9</v>
      </c>
      <c r="N16" s="11">
        <f t="shared" si="0"/>
        <v>10</v>
      </c>
    </row>
    <row r="17" spans="2:14" hidden="1" outlineLevel="1" x14ac:dyDescent="0.35">
      <c r="B17" s="2"/>
      <c r="C17" s="14" t="s">
        <v>60</v>
      </c>
      <c r="D17" s="15">
        <v>0</v>
      </c>
      <c r="E17" s="15">
        <v>5</v>
      </c>
      <c r="F17" s="15">
        <v>6</v>
      </c>
      <c r="G17" s="15">
        <v>7</v>
      </c>
      <c r="H17" s="15">
        <v>8</v>
      </c>
      <c r="I17" s="15">
        <v>9</v>
      </c>
      <c r="J17" s="15">
        <v>10</v>
      </c>
      <c r="K17" s="15">
        <v>11</v>
      </c>
      <c r="L17" s="15">
        <v>12</v>
      </c>
      <c r="M17" s="15">
        <v>13</v>
      </c>
      <c r="N17" s="15">
        <v>14</v>
      </c>
    </row>
    <row r="18" spans="2:14" hidden="1" outlineLevel="1" x14ac:dyDescent="0.35">
      <c r="B18" s="2"/>
      <c r="C18" s="4" t="s">
        <v>21</v>
      </c>
      <c r="D18" s="23"/>
      <c r="E18" s="23">
        <f>$D$12</f>
        <v>20500</v>
      </c>
      <c r="F18" s="23">
        <f t="shared" ref="F18:N18" si="1">$D$12</f>
        <v>20500</v>
      </c>
      <c r="G18" s="23">
        <f t="shared" si="1"/>
        <v>20500</v>
      </c>
      <c r="H18" s="23">
        <f t="shared" si="1"/>
        <v>20500</v>
      </c>
      <c r="I18" s="23">
        <f t="shared" si="1"/>
        <v>20500</v>
      </c>
      <c r="J18" s="23">
        <f t="shared" si="1"/>
        <v>20500</v>
      </c>
      <c r="K18" s="23">
        <f t="shared" si="1"/>
        <v>20500</v>
      </c>
      <c r="L18" s="23">
        <f t="shared" si="1"/>
        <v>20500</v>
      </c>
      <c r="M18" s="23">
        <f t="shared" si="1"/>
        <v>20500</v>
      </c>
      <c r="N18" s="23">
        <f t="shared" si="1"/>
        <v>20500</v>
      </c>
    </row>
    <row r="19" spans="2:14" hidden="1" outlineLevel="1" x14ac:dyDescent="0.35">
      <c r="B19" s="2"/>
      <c r="C19" s="4" t="s">
        <v>63</v>
      </c>
      <c r="D19" s="23"/>
      <c r="E19" s="23">
        <f>E18/(1+$D$14)^E17</f>
        <v>12728.887122712677</v>
      </c>
      <c r="F19" s="23">
        <f t="shared" ref="F19:N19" si="2">F18/(1+$D$14)^F17</f>
        <v>11571.715566102432</v>
      </c>
      <c r="G19" s="23">
        <f t="shared" si="2"/>
        <v>10519.741423729482</v>
      </c>
      <c r="H19" s="23">
        <f t="shared" si="2"/>
        <v>9563.4012942995305</v>
      </c>
      <c r="I19" s="23">
        <f t="shared" si="2"/>
        <v>8694.0011766359348</v>
      </c>
      <c r="J19" s="23">
        <f t="shared" si="2"/>
        <v>7903.6374333053955</v>
      </c>
      <c r="K19" s="23">
        <f t="shared" si="2"/>
        <v>7185.1249393685403</v>
      </c>
      <c r="L19" s="23">
        <f t="shared" si="2"/>
        <v>6531.9317630623091</v>
      </c>
      <c r="M19" s="23">
        <f t="shared" si="2"/>
        <v>5938.1197846020996</v>
      </c>
      <c r="N19" s="23">
        <f t="shared" si="2"/>
        <v>5398.290713274635</v>
      </c>
    </row>
    <row r="20" spans="2:14" hidden="1" outlineLevel="1" x14ac:dyDescent="0.35">
      <c r="B20" s="2"/>
      <c r="C20" s="4" t="s">
        <v>64</v>
      </c>
      <c r="D20" s="23">
        <f>SUM(E19:N19)</f>
        <v>86034.851217093033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2:14" hidden="1" outlineLevel="1" x14ac:dyDescent="0.35">
      <c r="B21" s="2"/>
      <c r="C21" s="4" t="s">
        <v>67</v>
      </c>
      <c r="D21" s="23"/>
      <c r="E21" s="7">
        <f>E19/$D$20</f>
        <v>0.1479503589841015</v>
      </c>
      <c r="F21" s="7">
        <f t="shared" ref="F21:N21" si="3">F19/$D$20</f>
        <v>0.13450032634918316</v>
      </c>
      <c r="G21" s="7">
        <f t="shared" si="3"/>
        <v>0.12227302395380286</v>
      </c>
      <c r="H21" s="7">
        <f t="shared" si="3"/>
        <v>0.11115729450345717</v>
      </c>
      <c r="I21" s="7">
        <f t="shared" si="3"/>
        <v>0.10105208591223376</v>
      </c>
      <c r="J21" s="7">
        <f t="shared" si="3"/>
        <v>9.1865532647485246E-2</v>
      </c>
      <c r="K21" s="7">
        <f t="shared" si="3"/>
        <v>8.3514120588622939E-2</v>
      </c>
      <c r="L21" s="7">
        <f t="shared" si="3"/>
        <v>7.5921927807839032E-2</v>
      </c>
      <c r="M21" s="7">
        <f t="shared" si="3"/>
        <v>6.9019934370762759E-2</v>
      </c>
      <c r="N21" s="7">
        <f t="shared" si="3"/>
        <v>6.2745394882511588E-2</v>
      </c>
    </row>
    <row r="22" spans="2:14" hidden="1" outlineLevel="1" x14ac:dyDescent="0.35">
      <c r="B22" s="2"/>
      <c r="C22" s="4" t="s">
        <v>68</v>
      </c>
      <c r="D22" s="23"/>
      <c r="E22" s="25">
        <f>E21*E17</f>
        <v>0.73975179492050747</v>
      </c>
      <c r="F22" s="25">
        <f t="shared" ref="F22:N22" si="4">F21*F17</f>
        <v>0.80700195809509889</v>
      </c>
      <c r="G22" s="25">
        <f t="shared" si="4"/>
        <v>0.85591116767662001</v>
      </c>
      <c r="H22" s="25">
        <f t="shared" si="4"/>
        <v>0.88925835602765735</v>
      </c>
      <c r="I22" s="25">
        <f t="shared" si="4"/>
        <v>0.90946877321010389</v>
      </c>
      <c r="J22" s="25">
        <f t="shared" si="4"/>
        <v>0.91865532647485248</v>
      </c>
      <c r="K22" s="25">
        <f t="shared" si="4"/>
        <v>0.91865532647485237</v>
      </c>
      <c r="L22" s="25">
        <f t="shared" si="4"/>
        <v>0.91106313369406844</v>
      </c>
      <c r="M22" s="25">
        <f t="shared" si="4"/>
        <v>0.89725914681991581</v>
      </c>
      <c r="N22" s="25">
        <f t="shared" si="4"/>
        <v>0.87843552835516225</v>
      </c>
    </row>
    <row r="23" spans="2:14" hidden="1" outlineLevel="1" x14ac:dyDescent="0.35">
      <c r="B23" s="2"/>
      <c r="C23" s="17" t="s">
        <v>65</v>
      </c>
      <c r="D23" s="34">
        <f>SUM(E22:N22)</f>
        <v>8.7254605117488389</v>
      </c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2:14" hidden="1" outlineLevel="1" x14ac:dyDescent="0.35">
      <c r="B24" s="2"/>
      <c r="D24" s="26" t="b">
        <f>(1/D20)*SUMPRODUCT(E19:N19,E17:N17)=D23</f>
        <v>1</v>
      </c>
    </row>
    <row r="25" spans="2:14" collapsed="1" x14ac:dyDescent="0.35"/>
    <row r="26" spans="2:14" x14ac:dyDescent="0.35">
      <c r="B26" s="2" t="s">
        <v>12</v>
      </c>
      <c r="C26" s="1" t="s">
        <v>25</v>
      </c>
    </row>
    <row r="27" spans="2:14" x14ac:dyDescent="0.35">
      <c r="C27" s="1" t="s">
        <v>26</v>
      </c>
    </row>
    <row r="28" spans="2:14" hidden="1" outlineLevel="1" x14ac:dyDescent="0.35"/>
    <row r="29" spans="2:14" hidden="1" outlineLevel="1" x14ac:dyDescent="0.35">
      <c r="C29" s="1" t="s">
        <v>72</v>
      </c>
    </row>
    <row r="30" spans="2:14" hidden="1" outlineLevel="1" x14ac:dyDescent="0.35"/>
    <row r="31" spans="2:14" hidden="1" outlineLevel="1" x14ac:dyDescent="0.35">
      <c r="C31" s="14"/>
      <c r="D31" s="15" t="s">
        <v>69</v>
      </c>
      <c r="E31" s="15" t="s">
        <v>80</v>
      </c>
      <c r="F31" s="15" t="s">
        <v>81</v>
      </c>
    </row>
    <row r="32" spans="2:14" hidden="1" outlineLevel="1" x14ac:dyDescent="0.35">
      <c r="C32" s="4" t="s">
        <v>70</v>
      </c>
      <c r="D32" s="5">
        <v>5</v>
      </c>
      <c r="E32" s="23">
        <v>100</v>
      </c>
      <c r="F32" s="6">
        <f>E32/(1+$D$14)^D32</f>
        <v>62.092132305915499</v>
      </c>
    </row>
    <row r="33" spans="2:9" hidden="1" outlineLevel="1" x14ac:dyDescent="0.35">
      <c r="C33" s="4" t="s">
        <v>71</v>
      </c>
      <c r="D33" s="5">
        <v>20</v>
      </c>
      <c r="E33" s="23">
        <v>100</v>
      </c>
      <c r="F33" s="6">
        <f>E33/(1+$D$14)^D33</f>
        <v>14.864362802414348</v>
      </c>
    </row>
    <row r="34" spans="2:9" hidden="1" outlineLevel="1" x14ac:dyDescent="0.35">
      <c r="C34" s="4" t="s">
        <v>79</v>
      </c>
      <c r="D34" s="24">
        <f>D23</f>
        <v>8.7254605117488389</v>
      </c>
      <c r="E34" s="31"/>
      <c r="F34" s="23">
        <f>D20</f>
        <v>86034.851217093033</v>
      </c>
    </row>
    <row r="35" spans="2:9" hidden="1" outlineLevel="1" x14ac:dyDescent="0.35"/>
    <row r="36" spans="2:9" hidden="1" outlineLevel="1" x14ac:dyDescent="0.35">
      <c r="C36" s="1" t="s">
        <v>140</v>
      </c>
    </row>
    <row r="37" spans="2:9" hidden="1" outlineLevel="1" x14ac:dyDescent="0.35"/>
    <row r="38" spans="2:9" hidden="1" outlineLevel="1" x14ac:dyDescent="0.35">
      <c r="C38" s="27" t="s">
        <v>76</v>
      </c>
      <c r="D38" s="15" t="s">
        <v>83</v>
      </c>
      <c r="E38" s="15" t="s">
        <v>77</v>
      </c>
      <c r="F38" s="15" t="s">
        <v>78</v>
      </c>
      <c r="H38" s="4" t="s">
        <v>73</v>
      </c>
      <c r="I38" s="29">
        <f>F39*D32+F40*D33</f>
        <v>8.7254605117488406</v>
      </c>
    </row>
    <row r="39" spans="2:9" hidden="1" outlineLevel="1" x14ac:dyDescent="0.35">
      <c r="C39" s="4" t="s">
        <v>70</v>
      </c>
      <c r="D39" s="5" t="s">
        <v>74</v>
      </c>
      <c r="E39" s="18">
        <f>(D33-D34)/(D33-D32)</f>
        <v>0.75163596588341075</v>
      </c>
      <c r="F39" s="16">
        <v>0.75163596588341064</v>
      </c>
      <c r="I39" s="30">
        <v>8.7254605117488406</v>
      </c>
    </row>
    <row r="40" spans="2:9" hidden="1" outlineLevel="1" x14ac:dyDescent="0.35">
      <c r="C40" s="4" t="s">
        <v>71</v>
      </c>
      <c r="D40" s="5" t="s">
        <v>75</v>
      </c>
      <c r="E40" s="18">
        <f>1-E39</f>
        <v>0.24836403411658925</v>
      </c>
      <c r="F40" s="28">
        <f>1-F39</f>
        <v>0.24836403411658936</v>
      </c>
    </row>
    <row r="41" spans="2:9" hidden="1" outlineLevel="1" x14ac:dyDescent="0.35"/>
    <row r="42" spans="2:9" hidden="1" outlineLevel="1" x14ac:dyDescent="0.35">
      <c r="C42" s="14" t="s">
        <v>84</v>
      </c>
      <c r="D42" s="15" t="s">
        <v>82</v>
      </c>
      <c r="E42" s="15" t="s">
        <v>86</v>
      </c>
      <c r="F42" s="15" t="s">
        <v>85</v>
      </c>
      <c r="H42" s="56" t="s">
        <v>90</v>
      </c>
      <c r="I42" s="57"/>
    </row>
    <row r="43" spans="2:9" hidden="1" outlineLevel="1" x14ac:dyDescent="0.35">
      <c r="C43" s="17" t="s">
        <v>70</v>
      </c>
      <c r="D43" s="16">
        <f>E39</f>
        <v>0.75163596588341075</v>
      </c>
      <c r="E43" s="32">
        <f>$F$34*D43</f>
        <v>64666.888494195256</v>
      </c>
      <c r="F43" s="33">
        <f>E43/F32</f>
        <v>1041.4667058878642</v>
      </c>
      <c r="G43" s="11" t="s">
        <v>87</v>
      </c>
      <c r="H43" s="17" t="s">
        <v>89</v>
      </c>
      <c r="I43" s="35">
        <f>F43*E32</f>
        <v>104146.67058878642</v>
      </c>
    </row>
    <row r="44" spans="2:9" hidden="1" outlineLevel="1" x14ac:dyDescent="0.35">
      <c r="C44" s="17" t="s">
        <v>71</v>
      </c>
      <c r="D44" s="16">
        <f>E40</f>
        <v>0.24836403411658925</v>
      </c>
      <c r="E44" s="32">
        <f>$F$34*D44</f>
        <v>21367.962722897773</v>
      </c>
      <c r="F44" s="33">
        <f>E44/F33</f>
        <v>1437.5296813548628</v>
      </c>
      <c r="G44" s="11" t="s">
        <v>87</v>
      </c>
      <c r="H44" s="17" t="s">
        <v>88</v>
      </c>
      <c r="I44" s="35">
        <f>F44*E33</f>
        <v>143752.96813548627</v>
      </c>
    </row>
    <row r="45" spans="2:9" collapsed="1" x14ac:dyDescent="0.35"/>
    <row r="47" spans="2:9" x14ac:dyDescent="0.35">
      <c r="B47" s="22" t="s">
        <v>4</v>
      </c>
      <c r="C47" s="1" t="s">
        <v>29</v>
      </c>
    </row>
    <row r="48" spans="2:9" x14ac:dyDescent="0.35">
      <c r="B48" s="2"/>
      <c r="C48" s="1" t="s">
        <v>30</v>
      </c>
    </row>
    <row r="49" spans="2:10" x14ac:dyDescent="0.35">
      <c r="C49" s="1" t="s">
        <v>31</v>
      </c>
    </row>
    <row r="50" spans="2:10" outlineLevel="1" x14ac:dyDescent="0.35"/>
    <row r="51" spans="2:10" outlineLevel="1" x14ac:dyDescent="0.35">
      <c r="C51" s="1" t="s">
        <v>157</v>
      </c>
    </row>
    <row r="52" spans="2:10" outlineLevel="1" x14ac:dyDescent="0.35"/>
    <row r="53" spans="2:10" outlineLevel="1" x14ac:dyDescent="0.35">
      <c r="C53" s="4" t="s">
        <v>91</v>
      </c>
      <c r="D53" s="5">
        <v>120</v>
      </c>
    </row>
    <row r="54" spans="2:10" outlineLevel="1" x14ac:dyDescent="0.35">
      <c r="C54" s="4" t="s">
        <v>92</v>
      </c>
      <c r="D54" s="5">
        <v>3.5</v>
      </c>
    </row>
    <row r="55" spans="2:10" outlineLevel="1" x14ac:dyDescent="0.35">
      <c r="C55" s="4" t="s">
        <v>93</v>
      </c>
      <c r="D55" s="13">
        <v>5.0000000000000001E-3</v>
      </c>
    </row>
    <row r="56" spans="2:10" outlineLevel="1" x14ac:dyDescent="0.35">
      <c r="C56" s="17" t="s">
        <v>94</v>
      </c>
      <c r="D56" s="18">
        <f>-D54*D55</f>
        <v>-1.7500000000000002E-2</v>
      </c>
    </row>
    <row r="57" spans="2:10" outlineLevel="1" x14ac:dyDescent="0.35">
      <c r="C57" s="17" t="s">
        <v>95</v>
      </c>
      <c r="D57" s="36">
        <f>D53*(1+D56)</f>
        <v>117.9</v>
      </c>
    </row>
    <row r="60" spans="2:10" x14ac:dyDescent="0.35">
      <c r="B60" s="22" t="s">
        <v>8</v>
      </c>
      <c r="C60" s="1" t="s">
        <v>32</v>
      </c>
    </row>
    <row r="61" spans="2:10" x14ac:dyDescent="0.35">
      <c r="B61" s="2"/>
      <c r="C61" s="1" t="s">
        <v>33</v>
      </c>
    </row>
    <row r="62" spans="2:10" x14ac:dyDescent="0.35">
      <c r="C62" s="1" t="s">
        <v>34</v>
      </c>
    </row>
    <row r="63" spans="2:10" outlineLevel="1" x14ac:dyDescent="0.35"/>
    <row r="64" spans="2:10" outlineLevel="1" x14ac:dyDescent="0.35">
      <c r="C64" s="20" t="s">
        <v>2</v>
      </c>
      <c r="D64" s="13">
        <v>0.12</v>
      </c>
      <c r="F64" s="56" t="s">
        <v>101</v>
      </c>
      <c r="G64" s="57"/>
      <c r="I64" s="56" t="s">
        <v>109</v>
      </c>
      <c r="J64" s="57"/>
    </row>
    <row r="65" spans="2:10" outlineLevel="1" x14ac:dyDescent="0.35">
      <c r="C65" s="20" t="s">
        <v>1</v>
      </c>
      <c r="D65" s="5">
        <v>10</v>
      </c>
      <c r="F65" s="58" t="s">
        <v>103</v>
      </c>
      <c r="G65" s="58"/>
      <c r="I65" s="4" t="s">
        <v>110</v>
      </c>
      <c r="J65" s="13">
        <f>D64+D68</f>
        <v>0.125</v>
      </c>
    </row>
    <row r="66" spans="2:10" outlineLevel="1" x14ac:dyDescent="0.35">
      <c r="C66" s="4" t="s">
        <v>3</v>
      </c>
      <c r="D66" s="5">
        <v>100</v>
      </c>
      <c r="F66" s="4" t="s">
        <v>107</v>
      </c>
      <c r="G66" s="18">
        <f>-D71*D68</f>
        <v>-4.4642857142857137E-2</v>
      </c>
      <c r="I66" s="4" t="s">
        <v>108</v>
      </c>
      <c r="J66" s="41">
        <f>D66/(1+J65)^D65</f>
        <v>30.794614765743873</v>
      </c>
    </row>
    <row r="67" spans="2:10" outlineLevel="1" x14ac:dyDescent="0.35">
      <c r="C67" s="4" t="s">
        <v>104</v>
      </c>
      <c r="D67" s="41">
        <f>D66/(1+D64)^D65</f>
        <v>32.197323659069603</v>
      </c>
      <c r="F67" s="4" t="s">
        <v>106</v>
      </c>
      <c r="G67" s="36">
        <f>G66*D67</f>
        <v>-1.4373805204941785</v>
      </c>
      <c r="I67" s="4" t="s">
        <v>107</v>
      </c>
      <c r="J67" s="7">
        <f>J66/D67-1</f>
        <v>-4.3566009031642094E-2</v>
      </c>
    </row>
    <row r="68" spans="2:10" outlineLevel="1" x14ac:dyDescent="0.35">
      <c r="C68" s="4" t="s">
        <v>99</v>
      </c>
      <c r="D68" s="13">
        <v>5.0000000000000001E-3</v>
      </c>
      <c r="F68" s="4" t="s">
        <v>108</v>
      </c>
      <c r="G68" s="36">
        <f>D67+G67</f>
        <v>30.759943138575423</v>
      </c>
    </row>
    <row r="69" spans="2:10" outlineLevel="1" x14ac:dyDescent="0.35">
      <c r="F69" s="58" t="s">
        <v>102</v>
      </c>
      <c r="G69" s="58"/>
      <c r="I69" s="56" t="s">
        <v>111</v>
      </c>
      <c r="J69" s="57"/>
    </row>
    <row r="70" spans="2:10" outlineLevel="1" x14ac:dyDescent="0.35">
      <c r="C70" s="20" t="s">
        <v>65</v>
      </c>
      <c r="D70" s="39">
        <f>D65</f>
        <v>10</v>
      </c>
      <c r="F70" s="4" t="s">
        <v>107</v>
      </c>
      <c r="G70" s="18">
        <f>-D71*D68+0.5*D72*(D68^2)</f>
        <v>-4.3546715561224483E-2</v>
      </c>
      <c r="I70" s="4" t="s">
        <v>103</v>
      </c>
      <c r="J70" s="45">
        <f>J67-G66</f>
        <v>1.0768481112150424E-3</v>
      </c>
    </row>
    <row r="71" spans="2:10" outlineLevel="1" x14ac:dyDescent="0.35">
      <c r="C71" s="20" t="s">
        <v>92</v>
      </c>
      <c r="D71" s="40">
        <f>D70/(1+D64)</f>
        <v>8.928571428571427</v>
      </c>
      <c r="F71" s="4" t="s">
        <v>106</v>
      </c>
      <c r="G71" s="36">
        <f>G70*D67</f>
        <v>-1.4020876952141874</v>
      </c>
      <c r="I71" s="4" t="s">
        <v>102</v>
      </c>
      <c r="J71" s="45">
        <f>J67-G70</f>
        <v>-1.9293470417611203E-5</v>
      </c>
    </row>
    <row r="72" spans="2:10" outlineLevel="1" x14ac:dyDescent="0.35">
      <c r="C72" s="4" t="s">
        <v>105</v>
      </c>
      <c r="D72" s="40">
        <f>(1/(D67*(1+D64)^2))*((D66*(D65+D65^2))/(1+D64)^D65)</f>
        <v>87.69132653061223</v>
      </c>
      <c r="F72" s="4" t="s">
        <v>108</v>
      </c>
      <c r="G72" s="36">
        <f>D67+G71</f>
        <v>30.795235963855415</v>
      </c>
    </row>
    <row r="75" spans="2:10" x14ac:dyDescent="0.35">
      <c r="B75" s="22" t="s">
        <v>9</v>
      </c>
      <c r="C75" s="1" t="s">
        <v>35</v>
      </c>
    </row>
    <row r="76" spans="2:10" x14ac:dyDescent="0.35">
      <c r="B76" s="2"/>
      <c r="C76" s="1" t="s">
        <v>36</v>
      </c>
    </row>
    <row r="77" spans="2:10" x14ac:dyDescent="0.35">
      <c r="C77" s="1" t="s">
        <v>37</v>
      </c>
    </row>
    <row r="78" spans="2:10" hidden="1" outlineLevel="1" x14ac:dyDescent="0.35">
      <c r="F78" s="1" t="s">
        <v>7</v>
      </c>
    </row>
    <row r="79" spans="2:10" hidden="1" outlineLevel="1" x14ac:dyDescent="0.35">
      <c r="C79" s="4" t="s">
        <v>3</v>
      </c>
      <c r="D79" s="41">
        <v>100</v>
      </c>
      <c r="F79" s="15"/>
      <c r="G79" s="15">
        <v>0</v>
      </c>
      <c r="H79" s="15">
        <v>1</v>
      </c>
      <c r="I79" s="15">
        <v>2</v>
      </c>
      <c r="J79" s="15">
        <v>3</v>
      </c>
    </row>
    <row r="80" spans="2:10" hidden="1" outlineLevel="1" x14ac:dyDescent="0.35">
      <c r="C80" s="4" t="s">
        <v>5</v>
      </c>
      <c r="D80" s="13">
        <v>0.08</v>
      </c>
      <c r="F80" s="4" t="s">
        <v>19</v>
      </c>
      <c r="G80" s="5"/>
      <c r="H80" s="41">
        <f>$D$82</f>
        <v>8</v>
      </c>
      <c r="I80" s="41">
        <f t="shared" ref="I80:J80" si="5">$D$82</f>
        <v>8</v>
      </c>
      <c r="J80" s="41">
        <f t="shared" si="5"/>
        <v>8</v>
      </c>
    </row>
    <row r="81" spans="3:10" hidden="1" outlineLevel="1" x14ac:dyDescent="0.35">
      <c r="C81" s="4" t="s">
        <v>10</v>
      </c>
      <c r="D81" s="5" t="s">
        <v>6</v>
      </c>
      <c r="F81" s="4" t="s">
        <v>3</v>
      </c>
      <c r="G81" s="5"/>
      <c r="H81" s="5"/>
      <c r="I81" s="5"/>
      <c r="J81" s="41">
        <f>D79</f>
        <v>100</v>
      </c>
    </row>
    <row r="82" spans="3:10" hidden="1" outlineLevel="1" x14ac:dyDescent="0.35">
      <c r="C82" s="4" t="s">
        <v>112</v>
      </c>
      <c r="D82" s="41">
        <f>D80*D79</f>
        <v>8</v>
      </c>
      <c r="F82" s="4" t="s">
        <v>21</v>
      </c>
      <c r="G82" s="5"/>
      <c r="H82" s="41">
        <f>H80+H81</f>
        <v>8</v>
      </c>
      <c r="I82" s="41">
        <f t="shared" ref="I82:J82" si="6">I80+I81</f>
        <v>8</v>
      </c>
      <c r="J82" s="41">
        <f t="shared" si="6"/>
        <v>108</v>
      </c>
    </row>
    <row r="83" spans="3:10" hidden="1" outlineLevel="1" x14ac:dyDescent="0.35">
      <c r="C83" s="4" t="s">
        <v>113</v>
      </c>
      <c r="D83" s="5">
        <v>3</v>
      </c>
      <c r="F83" s="4" t="s">
        <v>114</v>
      </c>
      <c r="G83" s="13">
        <f>D85</f>
        <v>0.08</v>
      </c>
      <c r="H83" s="5"/>
      <c r="I83" s="5"/>
      <c r="J83" s="5"/>
    </row>
    <row r="84" spans="3:10" hidden="1" outlineLevel="1" x14ac:dyDescent="0.35">
      <c r="F84" s="4" t="s">
        <v>115</v>
      </c>
      <c r="G84" s="5"/>
      <c r="H84" s="41">
        <f>H$82/(1+$G$83)^H$79</f>
        <v>7.4074074074074066</v>
      </c>
      <c r="I84" s="41">
        <f>I$82/(1+$G$83)^I$79</f>
        <v>6.8587105624142657</v>
      </c>
      <c r="J84" s="41">
        <f>J$82/(1+$G$83)^J$79</f>
        <v>85.733882030178322</v>
      </c>
    </row>
    <row r="85" spans="3:10" hidden="1" outlineLevel="1" x14ac:dyDescent="0.35">
      <c r="C85" s="4" t="s">
        <v>114</v>
      </c>
      <c r="D85" s="13">
        <v>0.08</v>
      </c>
      <c r="F85" s="42" t="s">
        <v>117</v>
      </c>
      <c r="G85" s="36">
        <f>SUM(H84:J84)</f>
        <v>100</v>
      </c>
      <c r="H85" s="5"/>
      <c r="I85" s="5"/>
      <c r="J85" s="5"/>
    </row>
    <row r="86" spans="3:10" hidden="1" outlineLevel="1" x14ac:dyDescent="0.35">
      <c r="C86" s="20" t="s">
        <v>117</v>
      </c>
      <c r="D86" s="41">
        <f>G85</f>
        <v>100</v>
      </c>
      <c r="F86" s="17" t="s">
        <v>119</v>
      </c>
      <c r="G86" s="46">
        <f>(1/G85)*SUMPRODUCT($H$79:$J$79,H84:J84)</f>
        <v>2.7832647462277089</v>
      </c>
      <c r="H86" s="4"/>
      <c r="I86" s="4"/>
      <c r="J86" s="4"/>
    </row>
    <row r="87" spans="3:10" hidden="1" outlineLevel="1" x14ac:dyDescent="0.35">
      <c r="F87" s="4" t="s">
        <v>116</v>
      </c>
      <c r="G87" s="13">
        <v>0.12</v>
      </c>
      <c r="H87" s="5"/>
      <c r="I87" s="5"/>
      <c r="J87" s="5"/>
    </row>
    <row r="88" spans="3:10" hidden="1" outlineLevel="1" x14ac:dyDescent="0.35">
      <c r="C88" s="4" t="s">
        <v>116</v>
      </c>
      <c r="D88" s="13">
        <v>0.12</v>
      </c>
      <c r="F88" s="4" t="s">
        <v>115</v>
      </c>
      <c r="G88" s="5"/>
      <c r="H88" s="41">
        <f>H$82/(1+$G$87)^H$79</f>
        <v>7.1428571428571423</v>
      </c>
      <c r="I88" s="41">
        <f t="shared" ref="I88:J88" si="7">I$82/(1+$G$87)^I$79</f>
        <v>6.3775510204081627</v>
      </c>
      <c r="J88" s="41">
        <f t="shared" si="7"/>
        <v>76.872266763848373</v>
      </c>
    </row>
    <row r="89" spans="3:10" hidden="1" outlineLevel="1" x14ac:dyDescent="0.35">
      <c r="C89" s="20" t="s">
        <v>118</v>
      </c>
      <c r="D89" s="41">
        <f>SUM(E88:G88)</f>
        <v>0</v>
      </c>
      <c r="F89" s="42" t="s">
        <v>118</v>
      </c>
      <c r="G89" s="36">
        <f>SUM(H88:J88)</f>
        <v>90.392674927113674</v>
      </c>
      <c r="H89" s="5"/>
      <c r="I89" s="5"/>
      <c r="J89" s="5"/>
    </row>
    <row r="90" spans="3:10" hidden="1" outlineLevel="1" x14ac:dyDescent="0.35">
      <c r="F90" s="17" t="s">
        <v>120</v>
      </c>
      <c r="G90" s="46">
        <f>(1/G89)*SUMPRODUCT($H$79:$J$79,H88:J88)</f>
        <v>2.7714055334374841</v>
      </c>
      <c r="H90" s="4"/>
      <c r="I90" s="4"/>
      <c r="J90" s="4"/>
    </row>
    <row r="91" spans="3:10" hidden="1" outlineLevel="1" x14ac:dyDescent="0.35"/>
    <row r="92" spans="3:10" hidden="1" outlineLevel="1" x14ac:dyDescent="0.35">
      <c r="C92" s="48" t="s">
        <v>123</v>
      </c>
    </row>
    <row r="93" spans="3:10" hidden="1" outlineLevel="1" x14ac:dyDescent="0.35">
      <c r="C93" s="47" t="s">
        <v>124</v>
      </c>
    </row>
    <row r="94" spans="3:10" hidden="1" outlineLevel="1" x14ac:dyDescent="0.35">
      <c r="C94" s="47" t="s">
        <v>125</v>
      </c>
    </row>
    <row r="95" spans="3:10" hidden="1" outlineLevel="1" x14ac:dyDescent="0.35">
      <c r="C95" s="47" t="s">
        <v>121</v>
      </c>
    </row>
    <row r="96" spans="3:10" hidden="1" outlineLevel="1" x14ac:dyDescent="0.35">
      <c r="C96" s="47" t="s">
        <v>122</v>
      </c>
    </row>
    <row r="97" spans="2:9" collapsed="1" x14ac:dyDescent="0.35"/>
    <row r="99" spans="2:9" x14ac:dyDescent="0.35">
      <c r="B99" s="22" t="s">
        <v>15</v>
      </c>
      <c r="C99" s="1" t="s">
        <v>38</v>
      </c>
    </row>
    <row r="101" spans="2:9" x14ac:dyDescent="0.35">
      <c r="B101" s="2" t="s">
        <v>13</v>
      </c>
      <c r="C101" s="1" t="s">
        <v>39</v>
      </c>
    </row>
    <row r="102" spans="2:9" x14ac:dyDescent="0.35">
      <c r="B102" s="2" t="s">
        <v>12</v>
      </c>
      <c r="C102" s="2" t="s">
        <v>40</v>
      </c>
      <c r="I102" s="1" t="s">
        <v>96</v>
      </c>
    </row>
    <row r="103" spans="2:9" x14ac:dyDescent="0.35">
      <c r="B103" s="2" t="s">
        <v>11</v>
      </c>
      <c r="C103" s="1" t="s">
        <v>41</v>
      </c>
      <c r="H103" s="38"/>
    </row>
    <row r="104" spans="2:9" x14ac:dyDescent="0.35">
      <c r="B104" s="2" t="s">
        <v>14</v>
      </c>
      <c r="C104" s="1" t="s">
        <v>42</v>
      </c>
      <c r="H104" s="38"/>
    </row>
    <row r="105" spans="2:9" x14ac:dyDescent="0.35">
      <c r="B105" s="2" t="s">
        <v>17</v>
      </c>
      <c r="C105" s="1" t="s">
        <v>43</v>
      </c>
      <c r="H105" s="38"/>
    </row>
    <row r="106" spans="2:9" x14ac:dyDescent="0.35">
      <c r="H106" s="37"/>
    </row>
    <row r="107" spans="2:9" x14ac:dyDescent="0.35">
      <c r="H107" s="38"/>
    </row>
    <row r="108" spans="2:9" x14ac:dyDescent="0.35">
      <c r="B108" s="22" t="s">
        <v>16</v>
      </c>
      <c r="C108" s="1" t="s">
        <v>44</v>
      </c>
    </row>
    <row r="110" spans="2:9" x14ac:dyDescent="0.35">
      <c r="B110" s="2" t="s">
        <v>13</v>
      </c>
      <c r="C110" s="1" t="s">
        <v>45</v>
      </c>
    </row>
    <row r="111" spans="2:9" x14ac:dyDescent="0.35">
      <c r="B111" s="2" t="s">
        <v>12</v>
      </c>
      <c r="C111" s="1" t="s">
        <v>46</v>
      </c>
    </row>
    <row r="112" spans="2:9" x14ac:dyDescent="0.35">
      <c r="B112" s="2" t="s">
        <v>11</v>
      </c>
      <c r="C112" s="1" t="s">
        <v>47</v>
      </c>
    </row>
    <row r="113" spans="2:9" x14ac:dyDescent="0.35">
      <c r="B113" s="2" t="s">
        <v>14</v>
      </c>
      <c r="C113" s="1" t="s">
        <v>48</v>
      </c>
    </row>
    <row r="114" spans="2:9" x14ac:dyDescent="0.35">
      <c r="B114" s="2" t="s">
        <v>17</v>
      </c>
      <c r="C114" s="2" t="s">
        <v>49</v>
      </c>
      <c r="I114" s="1" t="s">
        <v>97</v>
      </c>
    </row>
    <row r="117" spans="2:9" x14ac:dyDescent="0.35">
      <c r="B117" s="22" t="s">
        <v>50</v>
      </c>
      <c r="C117" s="1" t="s">
        <v>51</v>
      </c>
    </row>
    <row r="118" spans="2:9" x14ac:dyDescent="0.35">
      <c r="C118" s="1" t="s">
        <v>54</v>
      </c>
    </row>
    <row r="120" spans="2:9" x14ac:dyDescent="0.35">
      <c r="B120" s="2" t="s">
        <v>13</v>
      </c>
      <c r="C120" s="1" t="s">
        <v>52</v>
      </c>
    </row>
    <row r="121" spans="2:9" outlineLevel="1" x14ac:dyDescent="0.35">
      <c r="B121" s="2"/>
    </row>
    <row r="122" spans="2:9" outlineLevel="1" x14ac:dyDescent="0.35">
      <c r="B122" s="2"/>
      <c r="C122" s="4" t="s">
        <v>2</v>
      </c>
      <c r="D122" s="13">
        <v>0.08</v>
      </c>
    </row>
    <row r="123" spans="2:9" outlineLevel="1" x14ac:dyDescent="0.35">
      <c r="B123" s="2"/>
    </row>
    <row r="124" spans="2:9" outlineLevel="1" x14ac:dyDescent="0.35">
      <c r="B124" s="2"/>
      <c r="C124" s="14" t="s">
        <v>126</v>
      </c>
      <c r="D124" s="15" t="s">
        <v>127</v>
      </c>
      <c r="E124" s="15" t="s">
        <v>128</v>
      </c>
    </row>
    <row r="125" spans="2:9" outlineLevel="1" x14ac:dyDescent="0.35">
      <c r="B125" s="2"/>
      <c r="C125" s="4" t="s">
        <v>129</v>
      </c>
      <c r="D125" s="41">
        <v>10</v>
      </c>
      <c r="E125" s="41">
        <v>6</v>
      </c>
    </row>
    <row r="126" spans="2:9" outlineLevel="1" x14ac:dyDescent="0.35">
      <c r="B126" s="2"/>
      <c r="C126" s="4" t="s">
        <v>1</v>
      </c>
      <c r="D126" s="5">
        <v>1</v>
      </c>
      <c r="E126" s="5">
        <v>5</v>
      </c>
    </row>
    <row r="127" spans="2:9" outlineLevel="1" x14ac:dyDescent="0.35">
      <c r="B127" s="2"/>
      <c r="C127" s="4" t="s">
        <v>115</v>
      </c>
      <c r="D127" s="41">
        <f>D125/(1+$D$122)^D126</f>
        <v>9.2592592592592595</v>
      </c>
      <c r="E127" s="41">
        <f>E125/(1+$D$122)^E126</f>
        <v>4.0834991822025177</v>
      </c>
    </row>
    <row r="128" spans="2:9" outlineLevel="1" x14ac:dyDescent="0.35">
      <c r="B128" s="2"/>
    </row>
    <row r="129" spans="2:6" outlineLevel="1" x14ac:dyDescent="0.35">
      <c r="B129" s="2"/>
      <c r="C129" s="17" t="s">
        <v>130</v>
      </c>
      <c r="D129" s="44">
        <f>SUM(D127:E127)</f>
        <v>13.342758441461777</v>
      </c>
    </row>
    <row r="130" spans="2:6" outlineLevel="1" x14ac:dyDescent="0.35">
      <c r="B130" s="2"/>
      <c r="C130" s="4" t="s">
        <v>131</v>
      </c>
      <c r="D130" s="49">
        <f>D127/$D$129</f>
        <v>0.69395390015356173</v>
      </c>
    </row>
    <row r="131" spans="2:6" outlineLevel="1" x14ac:dyDescent="0.35">
      <c r="B131" s="2"/>
      <c r="C131" s="4" t="s">
        <v>132</v>
      </c>
      <c r="D131" s="49">
        <f>E127/$D$129</f>
        <v>0.30604609984643821</v>
      </c>
    </row>
    <row r="132" spans="2:6" outlineLevel="1" x14ac:dyDescent="0.35">
      <c r="B132" s="2"/>
      <c r="C132" s="17" t="s">
        <v>65</v>
      </c>
      <c r="D132" s="36">
        <f>D130*D126+D131*E126</f>
        <v>2.2241843993857531</v>
      </c>
      <c r="E132" s="11" t="s">
        <v>87</v>
      </c>
      <c r="F132" s="1" t="s">
        <v>133</v>
      </c>
    </row>
    <row r="134" spans="2:6" x14ac:dyDescent="0.35">
      <c r="B134" s="2" t="s">
        <v>12</v>
      </c>
      <c r="C134" s="1" t="s">
        <v>53</v>
      </c>
    </row>
    <row r="135" spans="2:6" outlineLevel="1" x14ac:dyDescent="0.35"/>
    <row r="136" spans="2:6" outlineLevel="1" x14ac:dyDescent="0.35">
      <c r="C136" s="17" t="s">
        <v>134</v>
      </c>
      <c r="D136" s="36">
        <f>D129</f>
        <v>13.342758441461777</v>
      </c>
      <c r="E136" s="11" t="s">
        <v>87</v>
      </c>
      <c r="F136" s="1" t="s">
        <v>135</v>
      </c>
    </row>
    <row r="137" spans="2:6" outlineLevel="1" x14ac:dyDescent="0.35">
      <c r="C137" s="17" t="s">
        <v>80</v>
      </c>
      <c r="D137" s="36">
        <f>D141*(1+D142)^D140</f>
        <v>15.833838797043633</v>
      </c>
    </row>
    <row r="138" spans="2:6" outlineLevel="1" x14ac:dyDescent="0.35"/>
    <row r="139" spans="2:6" outlineLevel="1" x14ac:dyDescent="0.35">
      <c r="C139" s="56" t="s">
        <v>136</v>
      </c>
      <c r="D139" s="57"/>
    </row>
    <row r="140" spans="2:6" outlineLevel="1" x14ac:dyDescent="0.35">
      <c r="C140" s="4" t="s">
        <v>98</v>
      </c>
      <c r="D140" s="43">
        <f>D132</f>
        <v>2.2241843993857531</v>
      </c>
    </row>
    <row r="141" spans="2:6" outlineLevel="1" x14ac:dyDescent="0.35">
      <c r="C141" s="4" t="s">
        <v>137</v>
      </c>
      <c r="D141" s="43">
        <f>D136</f>
        <v>13.342758441461777</v>
      </c>
    </row>
    <row r="142" spans="2:6" outlineLevel="1" x14ac:dyDescent="0.35">
      <c r="C142" s="4" t="s">
        <v>2</v>
      </c>
      <c r="D142" s="8">
        <f>D122</f>
        <v>0.08</v>
      </c>
    </row>
    <row r="145" spans="2:14" x14ac:dyDescent="0.35">
      <c r="B145" s="22" t="s">
        <v>18</v>
      </c>
      <c r="C145" s="1" t="s">
        <v>55</v>
      </c>
    </row>
    <row r="146" spans="2:14" x14ac:dyDescent="0.35">
      <c r="C146" s="1" t="s">
        <v>23</v>
      </c>
    </row>
    <row r="147" spans="2:14" x14ac:dyDescent="0.35">
      <c r="C147" s="1" t="s">
        <v>56</v>
      </c>
    </row>
    <row r="149" spans="2:14" x14ac:dyDescent="0.35">
      <c r="B149" s="2" t="s">
        <v>13</v>
      </c>
      <c r="C149" s="1" t="s">
        <v>57</v>
      </c>
    </row>
    <row r="150" spans="2:14" x14ac:dyDescent="0.35">
      <c r="B150" s="2"/>
      <c r="C150" s="1" t="s">
        <v>58</v>
      </c>
    </row>
    <row r="151" spans="2:14" hidden="1" outlineLevel="1" x14ac:dyDescent="0.35">
      <c r="B151" s="2"/>
    </row>
    <row r="152" spans="2:14" hidden="1" outlineLevel="1" x14ac:dyDescent="0.35">
      <c r="B152" s="2"/>
      <c r="C152" s="4" t="s">
        <v>61</v>
      </c>
      <c r="D152" s="50">
        <v>12000</v>
      </c>
    </row>
    <row r="153" spans="2:14" hidden="1" outlineLevel="1" x14ac:dyDescent="0.35">
      <c r="B153" s="2"/>
      <c r="C153" s="4" t="s">
        <v>1</v>
      </c>
      <c r="D153" s="5">
        <v>10</v>
      </c>
    </row>
    <row r="154" spans="2:14" hidden="1" outlineLevel="1" x14ac:dyDescent="0.35">
      <c r="B154" s="2"/>
      <c r="C154" s="4" t="s">
        <v>62</v>
      </c>
      <c r="D154" s="12">
        <v>0.12</v>
      </c>
    </row>
    <row r="155" spans="2:14" hidden="1" outlineLevel="1" x14ac:dyDescent="0.35">
      <c r="B155" s="2"/>
      <c r="C155" s="20" t="s">
        <v>138</v>
      </c>
      <c r="D155" s="5">
        <v>5</v>
      </c>
    </row>
    <row r="156" spans="2:14" hidden="1" outlineLevel="1" x14ac:dyDescent="0.35">
      <c r="B156" s="2"/>
    </row>
    <row r="157" spans="2:14" hidden="1" outlineLevel="1" x14ac:dyDescent="0.35">
      <c r="B157" s="2"/>
      <c r="C157" s="17" t="s">
        <v>139</v>
      </c>
      <c r="D157" s="51">
        <f>(D152/D154)*(1-(1/(1+D154)^D153))*(1/(1+D154)^(D155-1))</f>
        <v>43089.826578892797</v>
      </c>
    </row>
    <row r="158" spans="2:14" hidden="1" outlineLevel="1" x14ac:dyDescent="0.35">
      <c r="B158" s="2"/>
    </row>
    <row r="159" spans="2:14" hidden="1" outlineLevel="1" x14ac:dyDescent="0.35">
      <c r="B159" s="2"/>
      <c r="C159" s="14" t="s">
        <v>60</v>
      </c>
      <c r="D159" s="15">
        <v>0</v>
      </c>
      <c r="E159" s="15">
        <v>5</v>
      </c>
      <c r="F159" s="15">
        <v>6</v>
      </c>
      <c r="G159" s="15">
        <v>7</v>
      </c>
      <c r="H159" s="15">
        <v>8</v>
      </c>
      <c r="I159" s="15">
        <v>9</v>
      </c>
      <c r="J159" s="15">
        <v>10</v>
      </c>
      <c r="K159" s="15">
        <v>11</v>
      </c>
      <c r="L159" s="15">
        <v>12</v>
      </c>
      <c r="M159" s="15">
        <v>13</v>
      </c>
      <c r="N159" s="15">
        <v>14</v>
      </c>
    </row>
    <row r="160" spans="2:14" hidden="1" outlineLevel="1" x14ac:dyDescent="0.35">
      <c r="B160" s="2"/>
      <c r="C160" s="4" t="s">
        <v>21</v>
      </c>
      <c r="D160" s="23"/>
      <c r="E160" s="50">
        <f>$D$152</f>
        <v>12000</v>
      </c>
      <c r="F160" s="50">
        <f t="shared" ref="F160:N160" si="8">$D$152</f>
        <v>12000</v>
      </c>
      <c r="G160" s="50">
        <f t="shared" si="8"/>
        <v>12000</v>
      </c>
      <c r="H160" s="50">
        <f t="shared" si="8"/>
        <v>12000</v>
      </c>
      <c r="I160" s="50">
        <f t="shared" si="8"/>
        <v>12000</v>
      </c>
      <c r="J160" s="50">
        <f t="shared" si="8"/>
        <v>12000</v>
      </c>
      <c r="K160" s="50">
        <f t="shared" si="8"/>
        <v>12000</v>
      </c>
      <c r="L160" s="50">
        <f t="shared" si="8"/>
        <v>12000</v>
      </c>
      <c r="M160" s="50">
        <f t="shared" si="8"/>
        <v>12000</v>
      </c>
      <c r="N160" s="50">
        <f t="shared" si="8"/>
        <v>12000</v>
      </c>
    </row>
    <row r="161" spans="2:14" hidden="1" outlineLevel="1" x14ac:dyDescent="0.35">
      <c r="B161" s="2"/>
      <c r="C161" s="4" t="s">
        <v>63</v>
      </c>
      <c r="D161" s="23"/>
      <c r="E161" s="50">
        <f>E160/(1+$D$154)^E159</f>
        <v>6809.1222686231904</v>
      </c>
      <c r="F161" s="50">
        <f t="shared" ref="F161:N161" si="9">F160/(1+$D$154)^F159</f>
        <v>6079.573454127848</v>
      </c>
      <c r="G161" s="50">
        <f t="shared" si="9"/>
        <v>5428.1905840427216</v>
      </c>
      <c r="H161" s="50">
        <f t="shared" si="9"/>
        <v>4846.5987357524291</v>
      </c>
      <c r="I161" s="50">
        <f t="shared" si="9"/>
        <v>4327.3202997789549</v>
      </c>
      <c r="J161" s="50">
        <f t="shared" si="9"/>
        <v>3863.6788390883521</v>
      </c>
      <c r="K161" s="50">
        <f t="shared" si="9"/>
        <v>3449.713249186028</v>
      </c>
      <c r="L161" s="50">
        <f t="shared" si="9"/>
        <v>3080.101115344668</v>
      </c>
      <c r="M161" s="50">
        <f t="shared" si="9"/>
        <v>2750.0902815577388</v>
      </c>
      <c r="N161" s="50">
        <f t="shared" si="9"/>
        <v>2455.437751390838</v>
      </c>
    </row>
    <row r="162" spans="2:14" hidden="1" outlineLevel="1" x14ac:dyDescent="0.35">
      <c r="B162" s="2"/>
      <c r="C162" s="4" t="s">
        <v>64</v>
      </c>
      <c r="D162" s="50">
        <f>SUM(E161:N161)</f>
        <v>43089.826578892767</v>
      </c>
      <c r="E162" s="23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2:14" hidden="1" outlineLevel="1" x14ac:dyDescent="0.35">
      <c r="B163" s="2"/>
      <c r="C163" s="4" t="s">
        <v>67</v>
      </c>
      <c r="D163" s="23"/>
      <c r="E163" s="7">
        <f>E161/$D$162</f>
        <v>0.158021575142718</v>
      </c>
      <c r="F163" s="7">
        <f t="shared" ref="F163:N163" si="10">F161/$D$162</f>
        <v>0.14109069209171249</v>
      </c>
      <c r="G163" s="7">
        <f t="shared" si="10"/>
        <v>0.12597383222474329</v>
      </c>
      <c r="H163" s="7">
        <f t="shared" si="10"/>
        <v>0.11247663591494934</v>
      </c>
      <c r="I163" s="7">
        <f t="shared" si="10"/>
        <v>0.10042556778120477</v>
      </c>
      <c r="J163" s="7">
        <f t="shared" si="10"/>
        <v>8.9665685518932822E-2</v>
      </c>
      <c r="K163" s="7">
        <f t="shared" si="10"/>
        <v>8.0058647784761433E-2</v>
      </c>
      <c r="L163" s="7">
        <f t="shared" si="10"/>
        <v>7.1480935522108435E-2</v>
      </c>
      <c r="M163" s="7">
        <f t="shared" si="10"/>
        <v>6.3822263859025369E-2</v>
      </c>
      <c r="N163" s="7">
        <f t="shared" si="10"/>
        <v>5.6984164159844079E-2</v>
      </c>
    </row>
    <row r="164" spans="2:14" hidden="1" outlineLevel="1" x14ac:dyDescent="0.35">
      <c r="B164" s="2"/>
      <c r="C164" s="4" t="s">
        <v>68</v>
      </c>
      <c r="D164" s="23"/>
      <c r="E164" s="25">
        <f>E163*E159</f>
        <v>0.79010787571358998</v>
      </c>
      <c r="F164" s="25">
        <f t="shared" ref="F164:N164" si="11">F163*F159</f>
        <v>0.84654415255027493</v>
      </c>
      <c r="G164" s="25">
        <f t="shared" si="11"/>
        <v>0.88181682557320307</v>
      </c>
      <c r="H164" s="25">
        <f t="shared" si="11"/>
        <v>0.89981308731959475</v>
      </c>
      <c r="I164" s="25">
        <f t="shared" si="11"/>
        <v>0.90383011003084301</v>
      </c>
      <c r="J164" s="25">
        <f t="shared" si="11"/>
        <v>0.89665685518932825</v>
      </c>
      <c r="K164" s="25">
        <f t="shared" si="11"/>
        <v>0.88064512563237574</v>
      </c>
      <c r="L164" s="25">
        <f t="shared" si="11"/>
        <v>0.85777122626530122</v>
      </c>
      <c r="M164" s="25">
        <f t="shared" si="11"/>
        <v>0.82968943016732977</v>
      </c>
      <c r="N164" s="25">
        <f t="shared" si="11"/>
        <v>0.7977782982378171</v>
      </c>
    </row>
    <row r="165" spans="2:14" hidden="1" outlineLevel="1" x14ac:dyDescent="0.35">
      <c r="B165" s="2"/>
      <c r="C165" s="17" t="s">
        <v>65</v>
      </c>
      <c r="D165" s="34">
        <f>SUM(E164:N164)</f>
        <v>8.5846529866796573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2:14" collapsed="1" x14ac:dyDescent="0.35"/>
    <row r="167" spans="2:14" x14ac:dyDescent="0.35">
      <c r="B167" s="2" t="s">
        <v>12</v>
      </c>
      <c r="C167" s="1" t="s">
        <v>25</v>
      </c>
    </row>
    <row r="168" spans="2:14" hidden="1" outlineLevel="1" x14ac:dyDescent="0.35">
      <c r="B168" s="2"/>
    </row>
    <row r="169" spans="2:14" hidden="1" outlineLevel="1" x14ac:dyDescent="0.35">
      <c r="C169" s="14"/>
      <c r="D169" s="15" t="s">
        <v>69</v>
      </c>
      <c r="E169" s="15" t="s">
        <v>80</v>
      </c>
      <c r="F169" s="15" t="s">
        <v>81</v>
      </c>
    </row>
    <row r="170" spans="2:14" hidden="1" outlineLevel="1" x14ac:dyDescent="0.35">
      <c r="C170" s="4" t="s">
        <v>70</v>
      </c>
      <c r="D170" s="5">
        <v>5</v>
      </c>
      <c r="E170" s="19">
        <v>100</v>
      </c>
      <c r="F170" s="19">
        <f>E170/(1+$D$154)^D170</f>
        <v>56.742685571859923</v>
      </c>
    </row>
    <row r="171" spans="2:14" hidden="1" outlineLevel="1" x14ac:dyDescent="0.35">
      <c r="C171" s="4" t="s">
        <v>71</v>
      </c>
      <c r="D171" s="5">
        <v>20</v>
      </c>
      <c r="E171" s="19">
        <v>100</v>
      </c>
      <c r="F171" s="19">
        <f>E171/(1+$D$154)^D171</f>
        <v>10.36667650806883</v>
      </c>
    </row>
    <row r="172" spans="2:14" hidden="1" outlineLevel="1" x14ac:dyDescent="0.35">
      <c r="C172" s="4" t="s">
        <v>79</v>
      </c>
      <c r="D172" s="24">
        <f>D165</f>
        <v>8.5846529866796573</v>
      </c>
      <c r="E172" s="52"/>
      <c r="F172" s="50">
        <f>D157</f>
        <v>43089.826578892797</v>
      </c>
    </row>
    <row r="173" spans="2:14" hidden="1" outlineLevel="1" x14ac:dyDescent="0.35"/>
    <row r="174" spans="2:14" hidden="1" outlineLevel="1" x14ac:dyDescent="0.35">
      <c r="C174" s="1" t="s">
        <v>140</v>
      </c>
    </row>
    <row r="175" spans="2:14" hidden="1" outlineLevel="1" x14ac:dyDescent="0.35"/>
    <row r="176" spans="2:14" hidden="1" outlineLevel="1" x14ac:dyDescent="0.35">
      <c r="C176" s="14" t="s">
        <v>76</v>
      </c>
      <c r="D176" s="15" t="s">
        <v>83</v>
      </c>
      <c r="E176" s="15" t="s">
        <v>141</v>
      </c>
      <c r="F176" s="11"/>
      <c r="I176" s="30"/>
    </row>
    <row r="177" spans="2:9" hidden="1" outlineLevel="1" x14ac:dyDescent="0.35">
      <c r="C177" s="4" t="s">
        <v>70</v>
      </c>
      <c r="D177" s="5" t="s">
        <v>74</v>
      </c>
      <c r="E177" s="18">
        <f>(D171-D172)/(D171-D170)</f>
        <v>0.76102313422135615</v>
      </c>
      <c r="F177" s="53"/>
      <c r="I177" s="30"/>
    </row>
    <row r="178" spans="2:9" hidden="1" outlineLevel="1" x14ac:dyDescent="0.35">
      <c r="C178" s="4" t="s">
        <v>71</v>
      </c>
      <c r="D178" s="5" t="s">
        <v>75</v>
      </c>
      <c r="E178" s="18">
        <f>1-E177</f>
        <v>0.23897686577864385</v>
      </c>
      <c r="F178" s="53"/>
    </row>
    <row r="179" spans="2:9" hidden="1" outlineLevel="1" x14ac:dyDescent="0.35"/>
    <row r="180" spans="2:9" hidden="1" outlineLevel="1" x14ac:dyDescent="0.35">
      <c r="C180" s="14" t="s">
        <v>84</v>
      </c>
      <c r="D180" s="15" t="s">
        <v>82</v>
      </c>
      <c r="E180" s="15" t="s">
        <v>86</v>
      </c>
      <c r="F180" s="15" t="s">
        <v>85</v>
      </c>
    </row>
    <row r="181" spans="2:9" hidden="1" outlineLevel="1" x14ac:dyDescent="0.35">
      <c r="C181" s="17" t="s">
        <v>70</v>
      </c>
      <c r="D181" s="16">
        <f>E177</f>
        <v>0.76102313422135615</v>
      </c>
      <c r="E181" s="21">
        <f>$D$157*D181</f>
        <v>32792.354876123689</v>
      </c>
      <c r="F181" s="33">
        <f>E181/F170</f>
        <v>577.91333888479562</v>
      </c>
      <c r="G181" s="11"/>
    </row>
    <row r="182" spans="2:9" hidden="1" outlineLevel="1" x14ac:dyDescent="0.35">
      <c r="C182" s="17" t="s">
        <v>71</v>
      </c>
      <c r="D182" s="16">
        <f>E178</f>
        <v>0.23897686577864385</v>
      </c>
      <c r="E182" s="21">
        <f>$D$157*D182</f>
        <v>10297.471702769104</v>
      </c>
      <c r="F182" s="33">
        <f>E182/F171</f>
        <v>993.32430164615823</v>
      </c>
      <c r="G182" s="11"/>
    </row>
    <row r="183" spans="2:9" collapsed="1" x14ac:dyDescent="0.35"/>
    <row r="184" spans="2:9" x14ac:dyDescent="0.35">
      <c r="B184" s="2" t="s">
        <v>11</v>
      </c>
      <c r="C184" s="1" t="s">
        <v>26</v>
      </c>
    </row>
    <row r="185" spans="2:9" hidden="1" outlineLevel="1" x14ac:dyDescent="0.35"/>
    <row r="186" spans="2:9" hidden="1" outlineLevel="1" x14ac:dyDescent="0.35">
      <c r="C186" s="56" t="s">
        <v>90</v>
      </c>
      <c r="D186" s="57"/>
    </row>
    <row r="187" spans="2:9" hidden="1" outlineLevel="1" x14ac:dyDescent="0.35">
      <c r="C187" s="17" t="s">
        <v>89</v>
      </c>
      <c r="D187" s="21">
        <f>F181*E170</f>
        <v>57791.333888479559</v>
      </c>
    </row>
    <row r="188" spans="2:9" hidden="1" outlineLevel="1" x14ac:dyDescent="0.35">
      <c r="C188" s="17" t="s">
        <v>88</v>
      </c>
      <c r="D188" s="21">
        <f>F182*E171</f>
        <v>99332.430164615827</v>
      </c>
    </row>
    <row r="189" spans="2:9" collapsed="1" x14ac:dyDescent="0.35"/>
    <row r="192" spans="2:9" x14ac:dyDescent="0.35">
      <c r="B192" s="22">
        <v>9</v>
      </c>
      <c r="C192" s="1" t="s">
        <v>59</v>
      </c>
    </row>
    <row r="193" spans="2:12" x14ac:dyDescent="0.35">
      <c r="B193" s="2"/>
      <c r="C193" s="1" t="s">
        <v>153</v>
      </c>
    </row>
    <row r="194" spans="2:12" x14ac:dyDescent="0.35">
      <c r="B194" s="2"/>
      <c r="C194" s="1" t="s">
        <v>154</v>
      </c>
    </row>
    <row r="196" spans="2:12" outlineLevel="1" x14ac:dyDescent="0.35">
      <c r="C196" s="4" t="s">
        <v>3</v>
      </c>
      <c r="D196" s="5">
        <v>100</v>
      </c>
      <c r="F196" s="1" t="s">
        <v>150</v>
      </c>
    </row>
    <row r="197" spans="2:12" outlineLevel="1" x14ac:dyDescent="0.35">
      <c r="C197" s="4" t="s">
        <v>5</v>
      </c>
      <c r="D197" s="12">
        <v>0.08</v>
      </c>
    </row>
    <row r="198" spans="2:12" outlineLevel="1" x14ac:dyDescent="0.35">
      <c r="C198" s="4" t="s">
        <v>10</v>
      </c>
      <c r="D198" s="5" t="s">
        <v>6</v>
      </c>
      <c r="F198" s="14"/>
      <c r="G198" s="15">
        <v>0</v>
      </c>
      <c r="H198" s="15">
        <v>1</v>
      </c>
      <c r="I198" s="15">
        <v>2</v>
      </c>
      <c r="J198" s="15">
        <v>3</v>
      </c>
      <c r="K198" s="15">
        <v>4</v>
      </c>
      <c r="L198" s="15">
        <v>5</v>
      </c>
    </row>
    <row r="199" spans="2:12" outlineLevel="1" x14ac:dyDescent="0.35">
      <c r="C199" s="4" t="s">
        <v>5</v>
      </c>
      <c r="D199" s="5">
        <f>D196*D197</f>
        <v>8</v>
      </c>
      <c r="F199" s="4" t="s">
        <v>19</v>
      </c>
      <c r="G199" s="5"/>
      <c r="H199" s="5">
        <f>$D$199</f>
        <v>8</v>
      </c>
      <c r="I199" s="5">
        <f>$D$199</f>
        <v>8</v>
      </c>
      <c r="J199" s="5">
        <f>$D$199</f>
        <v>8</v>
      </c>
      <c r="K199" s="5">
        <f>$D$199</f>
        <v>8</v>
      </c>
      <c r="L199" s="5">
        <f>$D$199</f>
        <v>8</v>
      </c>
    </row>
    <row r="200" spans="2:12" outlineLevel="1" x14ac:dyDescent="0.35">
      <c r="C200" s="4" t="s">
        <v>143</v>
      </c>
      <c r="D200" s="5">
        <v>5</v>
      </c>
      <c r="F200" s="4" t="s">
        <v>3</v>
      </c>
      <c r="G200" s="5"/>
      <c r="H200" s="5"/>
      <c r="I200" s="5"/>
      <c r="J200" s="5"/>
      <c r="K200" s="5"/>
      <c r="L200" s="5">
        <f>D196</f>
        <v>100</v>
      </c>
    </row>
    <row r="201" spans="2:12" outlineLevel="1" x14ac:dyDescent="0.35">
      <c r="F201" s="4" t="s">
        <v>144</v>
      </c>
      <c r="G201" s="5"/>
      <c r="H201" s="5">
        <f>SUM(H199:H200)</f>
        <v>8</v>
      </c>
      <c r="I201" s="5">
        <f t="shared" ref="I201:L201" si="12">SUM(I199:I200)</f>
        <v>8</v>
      </c>
      <c r="J201" s="5">
        <f t="shared" si="12"/>
        <v>8</v>
      </c>
      <c r="K201" s="5">
        <f t="shared" si="12"/>
        <v>8</v>
      </c>
      <c r="L201" s="5">
        <f t="shared" si="12"/>
        <v>108</v>
      </c>
    </row>
    <row r="202" spans="2:12" outlineLevel="1" x14ac:dyDescent="0.35">
      <c r="C202" s="56" t="s">
        <v>146</v>
      </c>
      <c r="D202" s="57"/>
      <c r="F202" s="4" t="s">
        <v>20</v>
      </c>
      <c r="G202" s="5"/>
      <c r="H202" s="41">
        <f>H201/(1+$D$204)^H$198</f>
        <v>7.4074074074074066</v>
      </c>
      <c r="I202" s="41">
        <f>I201/(1+$D$204)^I$198</f>
        <v>6.8587105624142657</v>
      </c>
      <c r="J202" s="41">
        <f>J201/(1+$D$204)^J$198</f>
        <v>6.3506579281613567</v>
      </c>
      <c r="K202" s="41">
        <f>K201/(1+$D$204)^K$198</f>
        <v>5.8802388223716262</v>
      </c>
      <c r="L202" s="41">
        <f>L201/(1+$D$204)^L$198</f>
        <v>73.50298527964533</v>
      </c>
    </row>
    <row r="203" spans="2:12" outlineLevel="1" x14ac:dyDescent="0.35">
      <c r="C203" s="4" t="s">
        <v>104</v>
      </c>
      <c r="D203" s="5">
        <f>D196</f>
        <v>100</v>
      </c>
      <c r="F203" s="4" t="s">
        <v>67</v>
      </c>
      <c r="G203" s="4"/>
      <c r="H203" s="7">
        <f>H202/$D$203</f>
        <v>7.407407407407407E-2</v>
      </c>
      <c r="I203" s="7">
        <f>I202/$D$203</f>
        <v>6.8587105624142664E-2</v>
      </c>
      <c r="J203" s="7">
        <f>J202/$D$203</f>
        <v>6.3506579281613573E-2</v>
      </c>
      <c r="K203" s="7">
        <f>K202/$D$203</f>
        <v>5.8802388223716265E-2</v>
      </c>
      <c r="L203" s="7">
        <f>L202/$D$203</f>
        <v>0.73502985279645328</v>
      </c>
    </row>
    <row r="204" spans="2:12" outlineLevel="1" x14ac:dyDescent="0.35">
      <c r="C204" s="4" t="s">
        <v>2</v>
      </c>
      <c r="D204" s="12">
        <f>D197</f>
        <v>0.08</v>
      </c>
      <c r="F204" s="4" t="s">
        <v>145</v>
      </c>
      <c r="G204" s="4"/>
      <c r="H204" s="41">
        <f>H203*H198</f>
        <v>7.407407407407407E-2</v>
      </c>
      <c r="I204" s="41">
        <f>I203*I198</f>
        <v>0.13717421124828533</v>
      </c>
      <c r="J204" s="41">
        <f>J203*J198</f>
        <v>0.19051973784484072</v>
      </c>
      <c r="K204" s="41">
        <f>K203*K198</f>
        <v>0.23520955289486506</v>
      </c>
      <c r="L204" s="41">
        <f>L203*L198</f>
        <v>3.6751492639822665</v>
      </c>
    </row>
    <row r="205" spans="2:12" outlineLevel="1" x14ac:dyDescent="0.35">
      <c r="F205" s="17" t="s">
        <v>65</v>
      </c>
      <c r="G205" s="36">
        <f>SUM(H204:L204)</f>
        <v>4.312126840044332</v>
      </c>
      <c r="H205" s="4"/>
      <c r="I205" s="4"/>
      <c r="J205" s="4"/>
      <c r="K205" s="4"/>
      <c r="L205" s="4"/>
    </row>
    <row r="206" spans="2:12" outlineLevel="1" x14ac:dyDescent="0.35">
      <c r="C206" s="4" t="s">
        <v>142</v>
      </c>
      <c r="D206" s="13">
        <v>5.0000000000000001E-3</v>
      </c>
      <c r="F206" s="17" t="s">
        <v>148</v>
      </c>
      <c r="G206" s="5"/>
      <c r="H206" s="41">
        <f>H202*(H198+H198^2)</f>
        <v>14.814814814814813</v>
      </c>
      <c r="I206" s="41">
        <f>I202*(I198+I198^2)</f>
        <v>41.152263374485592</v>
      </c>
      <c r="J206" s="41">
        <f>J202*(J198+J198^2)</f>
        <v>76.207895137936276</v>
      </c>
      <c r="K206" s="41">
        <f>K202*(K198+K198^2)</f>
        <v>117.60477644743253</v>
      </c>
      <c r="L206" s="41">
        <f>L202*(L198+L198^2)</f>
        <v>2205.0895583893598</v>
      </c>
    </row>
    <row r="207" spans="2:12" outlineLevel="1" x14ac:dyDescent="0.35">
      <c r="C207" s="17" t="s">
        <v>65</v>
      </c>
      <c r="D207" s="36">
        <f>G205</f>
        <v>4.312126840044332</v>
      </c>
      <c r="F207" s="17" t="s">
        <v>105</v>
      </c>
      <c r="G207" s="36">
        <f>(1/(D203*(1+D204)^2))*SUM(H206:L206)</f>
        <v>21.04654756656403</v>
      </c>
      <c r="H207" s="5"/>
      <c r="I207" s="5"/>
      <c r="J207" s="5"/>
      <c r="K207" s="5"/>
      <c r="L207" s="5"/>
    </row>
    <row r="208" spans="2:12" outlineLevel="1" x14ac:dyDescent="0.35">
      <c r="C208" s="17" t="s">
        <v>92</v>
      </c>
      <c r="D208" s="36">
        <f>G205/(1+D204)</f>
        <v>3.9927100370780848</v>
      </c>
    </row>
    <row r="209" spans="3:12" outlineLevel="1" x14ac:dyDescent="0.35">
      <c r="C209" s="17" t="s">
        <v>105</v>
      </c>
      <c r="D209" s="36">
        <f>G207</f>
        <v>21.04654756656403</v>
      </c>
    </row>
    <row r="210" spans="3:12" outlineLevel="1" x14ac:dyDescent="0.35">
      <c r="F210" s="1" t="s">
        <v>151</v>
      </c>
    </row>
    <row r="211" spans="3:12" outlineLevel="1" x14ac:dyDescent="0.35"/>
    <row r="212" spans="3:12" outlineLevel="1" x14ac:dyDescent="0.35">
      <c r="C212" s="59" t="s">
        <v>100</v>
      </c>
      <c r="D212" s="59"/>
      <c r="F212" s="14"/>
      <c r="G212" s="15">
        <v>0</v>
      </c>
      <c r="H212" s="15">
        <v>1</v>
      </c>
      <c r="I212" s="15">
        <v>2</v>
      </c>
      <c r="J212" s="15">
        <v>3</v>
      </c>
      <c r="K212" s="15">
        <v>4</v>
      </c>
      <c r="L212" s="15">
        <v>5</v>
      </c>
    </row>
    <row r="213" spans="3:12" outlineLevel="1" x14ac:dyDescent="0.35">
      <c r="C213" s="42" t="s">
        <v>147</v>
      </c>
      <c r="D213" s="18">
        <f>-D208*D206</f>
        <v>-1.9963550185390425E-2</v>
      </c>
      <c r="F213" s="4" t="s">
        <v>19</v>
      </c>
      <c r="G213" s="5"/>
      <c r="H213" s="5">
        <f>$D$199</f>
        <v>8</v>
      </c>
      <c r="I213" s="5">
        <f>$D$199</f>
        <v>8</v>
      </c>
      <c r="J213" s="5">
        <f>$D$199</f>
        <v>8</v>
      </c>
      <c r="K213" s="5">
        <f>$D$199</f>
        <v>8</v>
      </c>
      <c r="L213" s="5">
        <f>$D$199</f>
        <v>8</v>
      </c>
    </row>
    <row r="214" spans="3:12" outlineLevel="1" x14ac:dyDescent="0.35">
      <c r="C214" s="17" t="s">
        <v>108</v>
      </c>
      <c r="D214" s="36">
        <f>$D$203*(1+D213)</f>
        <v>98.003644981460951</v>
      </c>
      <c r="F214" s="4" t="s">
        <v>3</v>
      </c>
      <c r="G214" s="5"/>
      <c r="H214" s="5"/>
      <c r="I214" s="5"/>
      <c r="J214" s="5"/>
      <c r="K214" s="5"/>
      <c r="L214" s="5">
        <f>D196</f>
        <v>100</v>
      </c>
    </row>
    <row r="215" spans="3:12" outlineLevel="1" x14ac:dyDescent="0.35">
      <c r="F215" s="4" t="s">
        <v>144</v>
      </c>
      <c r="G215" s="5"/>
      <c r="H215" s="5">
        <f>SUM(H213:H214)</f>
        <v>8</v>
      </c>
      <c r="I215" s="5">
        <f t="shared" ref="I215" si="13">SUM(I213:I214)</f>
        <v>8</v>
      </c>
      <c r="J215" s="5">
        <f t="shared" ref="J215" si="14">SUM(J213:J214)</f>
        <v>8</v>
      </c>
      <c r="K215" s="5">
        <f t="shared" ref="K215" si="15">SUM(K213:K214)</f>
        <v>8</v>
      </c>
      <c r="L215" s="5">
        <f t="shared" ref="L215" si="16">SUM(L213:L214)</f>
        <v>108</v>
      </c>
    </row>
    <row r="216" spans="3:12" outlineLevel="1" x14ac:dyDescent="0.35">
      <c r="C216" s="56" t="s">
        <v>149</v>
      </c>
      <c r="D216" s="57"/>
      <c r="F216" s="4" t="s">
        <v>110</v>
      </c>
      <c r="G216" s="7">
        <f>D204+D206</f>
        <v>8.5000000000000006E-2</v>
      </c>
      <c r="H216" s="4"/>
      <c r="I216" s="4"/>
      <c r="J216" s="4"/>
      <c r="K216" s="4"/>
      <c r="L216" s="4"/>
    </row>
    <row r="217" spans="3:12" outlineLevel="1" x14ac:dyDescent="0.35">
      <c r="C217" s="42" t="s">
        <v>147</v>
      </c>
      <c r="D217" s="18">
        <f>-D208*D206+0.5*D209*(D206^2)</f>
        <v>-1.9700468340808373E-2</v>
      </c>
      <c r="F217" s="4" t="s">
        <v>20</v>
      </c>
      <c r="G217" s="5"/>
      <c r="H217" s="41">
        <f>H215/(1+$G$216)^H$198</f>
        <v>7.3732718894009217</v>
      </c>
      <c r="I217" s="41">
        <f>I215/(1+$G$216)^I$198</f>
        <v>6.7956422943787302</v>
      </c>
      <c r="J217" s="41">
        <f>J215/(1+$G$216)^J$198</f>
        <v>6.2632647874458334</v>
      </c>
      <c r="K217" s="41">
        <f>K215/(1+$G$216)^K$198</f>
        <v>5.7725942741436267</v>
      </c>
      <c r="L217" s="41">
        <f>L215/(1+$G$216)^L$198</f>
        <v>71.824905715151118</v>
      </c>
    </row>
    <row r="218" spans="3:12" outlineLevel="1" x14ac:dyDescent="0.35">
      <c r="C218" s="17" t="s">
        <v>108</v>
      </c>
      <c r="D218" s="36">
        <f>$D$203*(1+D217)</f>
        <v>98.029953165919153</v>
      </c>
      <c r="F218" s="17" t="s">
        <v>108</v>
      </c>
      <c r="G218" s="36">
        <f>SUM(H217:L217)</f>
        <v>98.029678960520229</v>
      </c>
      <c r="H218" s="4"/>
      <c r="I218" s="4"/>
      <c r="J218" s="4"/>
      <c r="K218" s="4"/>
      <c r="L218" s="4"/>
    </row>
  </sheetData>
  <mergeCells count="11">
    <mergeCell ref="C216:D216"/>
    <mergeCell ref="C139:D139"/>
    <mergeCell ref="C186:D186"/>
    <mergeCell ref="C202:D202"/>
    <mergeCell ref="C212:D212"/>
    <mergeCell ref="H42:I42"/>
    <mergeCell ref="F64:G64"/>
    <mergeCell ref="F65:G65"/>
    <mergeCell ref="F69:G69"/>
    <mergeCell ref="I64:J64"/>
    <mergeCell ref="I69:J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Solutions &gt;</vt:lpstr>
      <vt:lpstr>Set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Marques, G.</dc:creator>
  <cp:lastModifiedBy>Martijn Boons</cp:lastModifiedBy>
  <dcterms:created xsi:type="dcterms:W3CDTF">2021-09-12T21:15:28Z</dcterms:created>
  <dcterms:modified xsi:type="dcterms:W3CDTF">2025-01-07T13:53:56Z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{DE82A527-C185-42BD-A66F-B75D8C276618}</vt:lpwstr>
  </property>
</Properties>
</file>