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Dropbox\D-Drive Uni\Teaching\Nova\Investments\Spring 2025\Weekly exercise sets\"/>
    </mc:Choice>
  </mc:AlternateContent>
  <xr:revisionPtr revIDLastSave="0" documentId="13_ncr:1_{961278C0-A7AC-4389-A078-79A3374C7D30}" xr6:coauthVersionLast="47" xr6:coauthVersionMax="47" xr10:uidLastSave="{00000000-0000-0000-0000-000000000000}"/>
  <bookViews>
    <workbookView xWindow="-110" yWindow="-110" windowWidth="25180" windowHeight="16140" tabRatio="782" activeTab="1" xr2:uid="{664E6C5A-28FF-44C3-8C99-443408E34737}"/>
  </bookViews>
  <sheets>
    <sheet name="Solutions &gt;" sheetId="8" r:id="rId1"/>
    <sheet name="Set 9" sheetId="1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5" i="11" l="1"/>
  <c r="F463" i="11" s="1"/>
  <c r="D466" i="11" s="1"/>
  <c r="D457" i="11"/>
  <c r="D458" i="11"/>
  <c r="F473" i="11" s="1"/>
  <c r="D467" i="11" s="1"/>
  <c r="D241" i="11"/>
  <c r="F252" i="11" s="1"/>
  <c r="D236" i="11" s="1"/>
  <c r="F574" i="11"/>
  <c r="F553" i="11"/>
  <c r="F578" i="11"/>
  <c r="D565" i="11"/>
  <c r="F557" i="11"/>
  <c r="D526" i="11"/>
  <c r="F525" i="11" s="1"/>
  <c r="H517" i="11" s="1"/>
  <c r="H551" i="11" s="1"/>
  <c r="F558" i="11" s="1"/>
  <c r="D472" i="11"/>
  <c r="D696" i="11"/>
  <c r="D724" i="11"/>
  <c r="F352" i="11"/>
  <c r="D308" i="11"/>
  <c r="D302" i="11" s="1"/>
  <c r="F295" i="11" s="1"/>
  <c r="F363" i="11" s="1"/>
  <c r="D117" i="11"/>
  <c r="D176" i="11" s="1"/>
  <c r="F230" i="11" l="1"/>
  <c r="D235" i="11" s="1"/>
  <c r="F554" i="11"/>
  <c r="F555" i="11" s="1"/>
  <c r="D568" i="11" s="1"/>
  <c r="D566" i="11"/>
  <c r="F564" i="11"/>
  <c r="D369" i="11"/>
  <c r="D375" i="11"/>
  <c r="F353" i="11"/>
  <c r="F354" i="11" s="1"/>
  <c r="D371" i="11" s="1"/>
  <c r="D303" i="11"/>
  <c r="D370" i="11" s="1"/>
  <c r="H301" i="11"/>
  <c r="H552" i="11" l="1"/>
  <c r="F560" i="11" s="1"/>
  <c r="F290" i="11"/>
  <c r="H368" i="11"/>
  <c r="F358" i="11" s="1"/>
  <c r="F322" i="11"/>
  <c r="H315" i="11" s="1"/>
  <c r="F380" i="11"/>
  <c r="F381" i="11" s="1"/>
  <c r="D372" i="11" s="1"/>
  <c r="H288" i="11"/>
  <c r="F316" i="11" l="1"/>
  <c r="H382" i="11"/>
  <c r="F384" i="11" s="1"/>
  <c r="J289" i="11"/>
  <c r="J290" i="11" s="1"/>
  <c r="H285" i="11" s="1"/>
  <c r="H355" i="11"/>
  <c r="F357" i="11" s="1"/>
  <c r="H328" i="11"/>
  <c r="F390" i="11"/>
  <c r="J307" i="11"/>
  <c r="J316" i="11"/>
  <c r="F289" i="11"/>
  <c r="J280" i="11"/>
  <c r="J347" i="11" s="1"/>
  <c r="H283" i="11" l="1"/>
  <c r="J356" i="11"/>
  <c r="H295" i="11"/>
  <c r="J348" i="11"/>
  <c r="H351" i="11" s="1"/>
  <c r="H349" i="11"/>
  <c r="F317" i="11"/>
  <c r="H395" i="11"/>
  <c r="F385" i="11" s="1"/>
  <c r="J329" i="11"/>
  <c r="J320" i="11"/>
  <c r="H309" i="11"/>
  <c r="J374" i="11"/>
  <c r="J317" i="11"/>
  <c r="H312" i="11" s="1"/>
  <c r="J383" i="11"/>
  <c r="H310" i="11"/>
  <c r="J308" i="11"/>
  <c r="H311" i="11" s="1"/>
  <c r="H282" i="11"/>
  <c r="J281" i="11"/>
  <c r="H284" i="11" s="1"/>
  <c r="J375" i="11" l="1"/>
  <c r="H378" i="11" s="1"/>
  <c r="H376" i="11"/>
  <c r="J357" i="11"/>
  <c r="H352" i="11" s="1"/>
  <c r="H350" i="11"/>
  <c r="J330" i="11"/>
  <c r="H325" i="11" s="1"/>
  <c r="J396" i="11"/>
  <c r="H323" i="11"/>
  <c r="J387" i="11"/>
  <c r="H322" i="11"/>
  <c r="J321" i="11"/>
  <c r="H324" i="11" s="1"/>
  <c r="J384" i="11"/>
  <c r="H379" i="11" s="1"/>
  <c r="H377" i="11"/>
  <c r="J388" i="11" l="1"/>
  <c r="H391" i="11" s="1"/>
  <c r="H389" i="11"/>
  <c r="J397" i="11"/>
  <c r="H392" i="11" s="1"/>
  <c r="H390" i="11"/>
  <c r="F725" i="11" l="1"/>
  <c r="F704" i="11"/>
  <c r="F729" i="11"/>
  <c r="F708" i="11"/>
  <c r="D717" i="11"/>
  <c r="D697" i="11"/>
  <c r="F726" i="11" s="1"/>
  <c r="D719" i="11" s="1"/>
  <c r="F705" i="11"/>
  <c r="D718" i="11" s="1"/>
  <c r="C633" i="11"/>
  <c r="C634" i="11" s="1"/>
  <c r="D614" i="11"/>
  <c r="D613" i="11"/>
  <c r="D612" i="11"/>
  <c r="D629" i="11" s="1"/>
  <c r="D610" i="11"/>
  <c r="D609" i="11"/>
  <c r="D525" i="11"/>
  <c r="F533" i="11"/>
  <c r="F518" i="11"/>
  <c r="D509" i="11"/>
  <c r="D508" i="11"/>
  <c r="D507" i="11"/>
  <c r="D495" i="11"/>
  <c r="D496" i="11" s="1"/>
  <c r="D431" i="11"/>
  <c r="G410" i="11"/>
  <c r="D432" i="11" s="1"/>
  <c r="D368" i="11"/>
  <c r="F379" i="11"/>
  <c r="F383" i="11"/>
  <c r="F356" i="11"/>
  <c r="H388" i="11"/>
  <c r="H375" i="11"/>
  <c r="H361" i="11"/>
  <c r="H348" i="11"/>
  <c r="D334" i="11"/>
  <c r="D336" i="11" s="1"/>
  <c r="D337" i="11" s="1"/>
  <c r="D301" i="11"/>
  <c r="F315" i="11"/>
  <c r="F288" i="11"/>
  <c r="H321" i="11"/>
  <c r="H308" i="11"/>
  <c r="H294" i="11"/>
  <c r="H281" i="11"/>
  <c r="D271" i="11"/>
  <c r="D234" i="11"/>
  <c r="F245" i="11"/>
  <c r="F223" i="11"/>
  <c r="D210" i="11"/>
  <c r="D169" i="11"/>
  <c r="F183" i="11"/>
  <c r="F156" i="11"/>
  <c r="H189" i="11"/>
  <c r="H176" i="11"/>
  <c r="H162" i="11"/>
  <c r="H149" i="11"/>
  <c r="D110" i="11"/>
  <c r="F123" i="11"/>
  <c r="F97" i="11"/>
  <c r="H130" i="11"/>
  <c r="H117" i="11"/>
  <c r="H103" i="11"/>
  <c r="H90" i="11"/>
  <c r="D84" i="11"/>
  <c r="D82" i="11"/>
  <c r="H45" i="11"/>
  <c r="H46" i="11" s="1"/>
  <c r="G45" i="11"/>
  <c r="G46" i="11" s="1"/>
  <c r="F45" i="11"/>
  <c r="F46" i="11" s="1"/>
  <c r="E45" i="11"/>
  <c r="E46" i="11" s="1"/>
  <c r="D45" i="11"/>
  <c r="D46" i="11" s="1"/>
  <c r="D42" i="11"/>
  <c r="N45" i="11" s="1"/>
  <c r="N46" i="11" s="1"/>
  <c r="D19" i="11"/>
  <c r="K22" i="11" s="1"/>
  <c r="D527" i="11" l="1"/>
  <c r="H526" i="11"/>
  <c r="H567" i="11" s="1"/>
  <c r="F474" i="11"/>
  <c r="D469" i="11" s="1"/>
  <c r="F464" i="11"/>
  <c r="D468" i="11" s="1"/>
  <c r="F715" i="11"/>
  <c r="H702" i="11" s="1"/>
  <c r="F736" i="11"/>
  <c r="D65" i="11"/>
  <c r="D71" i="11" s="1"/>
  <c r="D511" i="11"/>
  <c r="M45" i="11"/>
  <c r="M46" i="11" s="1"/>
  <c r="D615" i="11"/>
  <c r="D414" i="11"/>
  <c r="D416" i="11" s="1"/>
  <c r="D418" i="11" s="1"/>
  <c r="D419" i="11" s="1"/>
  <c r="F130" i="11"/>
  <c r="F190" i="11" s="1"/>
  <c r="D171" i="11" s="1"/>
  <c r="F104" i="11"/>
  <c r="F163" i="11" s="1"/>
  <c r="D170" i="11" s="1"/>
  <c r="E633" i="11"/>
  <c r="L22" i="11"/>
  <c r="L23" i="11" s="1"/>
  <c r="H22" i="11"/>
  <c r="I22" i="11"/>
  <c r="I23" i="11" s="1"/>
  <c r="E634" i="11"/>
  <c r="J22" i="11"/>
  <c r="J23" i="11" s="1"/>
  <c r="J45" i="11"/>
  <c r="F65" i="11" s="1"/>
  <c r="F71" i="11" s="1"/>
  <c r="C635" i="11"/>
  <c r="E635" i="11" s="1"/>
  <c r="O45" i="11"/>
  <c r="O46" i="11" s="1"/>
  <c r="D338" i="11"/>
  <c r="D339" i="11" s="1"/>
  <c r="D341" i="11" s="1"/>
  <c r="E22" i="11"/>
  <c r="E23" i="11" s="1"/>
  <c r="N22" i="11"/>
  <c r="N23" i="11" s="1"/>
  <c r="D616" i="11"/>
  <c r="D22" i="11"/>
  <c r="D23" i="11" s="1"/>
  <c r="M22" i="11"/>
  <c r="M23" i="11" s="1"/>
  <c r="F22" i="11"/>
  <c r="F23" i="11" s="1"/>
  <c r="O22" i="11"/>
  <c r="O23" i="11" s="1"/>
  <c r="D434" i="11"/>
  <c r="D435" i="11" s="1"/>
  <c r="G22" i="11"/>
  <c r="P22" i="11"/>
  <c r="P23" i="11" s="1"/>
  <c r="D611" i="11"/>
  <c r="K23" i="11"/>
  <c r="G64" i="11"/>
  <c r="G70" i="11" s="1"/>
  <c r="P45" i="11"/>
  <c r="P46" i="11" s="1"/>
  <c r="I45" i="11"/>
  <c r="K45" i="11"/>
  <c r="C65" i="11"/>
  <c r="C71" i="11" s="1"/>
  <c r="E632" i="11"/>
  <c r="D632" i="11"/>
  <c r="L45" i="11"/>
  <c r="L46" i="11" s="1"/>
  <c r="D633" i="11"/>
  <c r="D634" i="11"/>
  <c r="H218" i="11" l="1"/>
  <c r="F224" i="11" s="1"/>
  <c r="H229" i="11"/>
  <c r="H240" i="11"/>
  <c r="H251" i="11"/>
  <c r="F540" i="11"/>
  <c r="F585" i="11" s="1"/>
  <c r="D567" i="11"/>
  <c r="F575" i="11"/>
  <c r="F576" i="11" s="1"/>
  <c r="D569" i="11" s="1"/>
  <c r="F559" i="11"/>
  <c r="H568" i="11"/>
  <c r="F561" i="11" s="1"/>
  <c r="D470" i="11"/>
  <c r="D471" i="11" s="1"/>
  <c r="H739" i="11"/>
  <c r="H723" i="11"/>
  <c r="H718" i="11"/>
  <c r="D417" i="11"/>
  <c r="D421" i="11" s="1"/>
  <c r="D436" i="11"/>
  <c r="D437" i="11" s="1"/>
  <c r="D439" i="11" s="1"/>
  <c r="D441" i="11" s="1"/>
  <c r="J46" i="11"/>
  <c r="C636" i="11"/>
  <c r="E636" i="11" s="1"/>
  <c r="F727" i="11"/>
  <c r="D721" i="11" s="1"/>
  <c r="F632" i="11"/>
  <c r="D635" i="11"/>
  <c r="F635" i="11" s="1"/>
  <c r="D617" i="11"/>
  <c r="D618" i="11" s="1"/>
  <c r="F633" i="11"/>
  <c r="H137" i="11"/>
  <c r="H196" i="11" s="1"/>
  <c r="F185" i="11" s="1"/>
  <c r="D112" i="11"/>
  <c r="H124" i="11"/>
  <c r="H183" i="11" s="1"/>
  <c r="F184" i="11" s="1"/>
  <c r="H110" i="11"/>
  <c r="H169" i="11" s="1"/>
  <c r="F158" i="11" s="1"/>
  <c r="H97" i="11"/>
  <c r="H156" i="11" s="1"/>
  <c r="F157" i="11" s="1"/>
  <c r="D111" i="11"/>
  <c r="G23" i="11"/>
  <c r="C64" i="11"/>
  <c r="C70" i="11" s="1"/>
  <c r="E64" i="11"/>
  <c r="E70" i="11" s="1"/>
  <c r="F64" i="11"/>
  <c r="F70" i="11" s="1"/>
  <c r="D64" i="11"/>
  <c r="D70" i="11" s="1"/>
  <c r="H23" i="11"/>
  <c r="F634" i="11"/>
  <c r="F706" i="11"/>
  <c r="I46" i="11"/>
  <c r="E65" i="11"/>
  <c r="E71" i="11" s="1"/>
  <c r="G65" i="11"/>
  <c r="G71" i="11" s="1"/>
  <c r="K46" i="11"/>
  <c r="F562" i="11" l="1"/>
  <c r="F563" i="11" s="1"/>
  <c r="F565" i="11" s="1"/>
  <c r="H221" i="11"/>
  <c r="F226" i="11" s="1"/>
  <c r="F225" i="11"/>
  <c r="H232" i="11"/>
  <c r="F227" i="11" s="1"/>
  <c r="H230" i="11"/>
  <c r="H234" i="11" s="1"/>
  <c r="F247" i="11"/>
  <c r="H254" i="11"/>
  <c r="F249" i="11" s="1"/>
  <c r="F246" i="11"/>
  <c r="H243" i="11"/>
  <c r="F248" i="11" s="1"/>
  <c r="H541" i="11"/>
  <c r="H542" i="11" s="1"/>
  <c r="F537" i="11" s="1"/>
  <c r="H532" i="11"/>
  <c r="H572" i="11" s="1"/>
  <c r="F579" i="11" s="1"/>
  <c r="F519" i="11"/>
  <c r="H518" i="11"/>
  <c r="F521" i="11" s="1"/>
  <c r="F520" i="11"/>
  <c r="H527" i="11"/>
  <c r="F522" i="11" s="1"/>
  <c r="D473" i="11"/>
  <c r="F709" i="11"/>
  <c r="H703" i="11"/>
  <c r="F711" i="11" s="1"/>
  <c r="H724" i="11"/>
  <c r="F732" i="11" s="1"/>
  <c r="F730" i="11"/>
  <c r="F710" i="11"/>
  <c r="H719" i="11"/>
  <c r="F712" i="11" s="1"/>
  <c r="F731" i="11"/>
  <c r="H740" i="11"/>
  <c r="F733" i="11" s="1"/>
  <c r="D440" i="11"/>
  <c r="J302" i="11"/>
  <c r="J369" i="11" s="1"/>
  <c r="J293" i="11"/>
  <c r="D619" i="11"/>
  <c r="D620" i="11" s="1"/>
  <c r="D621" i="11" s="1"/>
  <c r="C637" i="11"/>
  <c r="E637" i="11" s="1"/>
  <c r="D636" i="11"/>
  <c r="F636" i="11" s="1"/>
  <c r="J129" i="11"/>
  <c r="J188" i="11" s="1"/>
  <c r="F125" i="11"/>
  <c r="J138" i="11"/>
  <c r="J197" i="11" s="1"/>
  <c r="J98" i="11"/>
  <c r="J99" i="11" s="1"/>
  <c r="H94" i="11" s="1"/>
  <c r="F98" i="11"/>
  <c r="J89" i="11"/>
  <c r="H91" i="11" s="1"/>
  <c r="F99" i="11"/>
  <c r="J102" i="11"/>
  <c r="J161" i="11" s="1"/>
  <c r="J111" i="11"/>
  <c r="J170" i="11" s="1"/>
  <c r="F124" i="11"/>
  <c r="J116" i="11"/>
  <c r="J125" i="11"/>
  <c r="H241" i="11"/>
  <c r="H252" i="11"/>
  <c r="H219" i="11"/>
  <c r="H256" i="11" l="1"/>
  <c r="H245" i="11"/>
  <c r="F535" i="11"/>
  <c r="H533" i="11"/>
  <c r="F536" i="11" s="1"/>
  <c r="H573" i="11"/>
  <c r="F581" i="11" s="1"/>
  <c r="H588" i="11"/>
  <c r="F580" i="11" s="1"/>
  <c r="F534" i="11"/>
  <c r="H223" i="11"/>
  <c r="F523" i="11"/>
  <c r="F524" i="11" s="1"/>
  <c r="F526" i="11" s="1"/>
  <c r="F713" i="11"/>
  <c r="F714" i="11" s="1"/>
  <c r="F716" i="11" s="1"/>
  <c r="D720" i="11" s="1"/>
  <c r="D722" i="11" s="1"/>
  <c r="D723" i="11" s="1"/>
  <c r="D725" i="11" s="1"/>
  <c r="F734" i="11"/>
  <c r="F735" i="11" s="1"/>
  <c r="F737" i="11" s="1"/>
  <c r="J370" i="11"/>
  <c r="H365" i="11" s="1"/>
  <c r="H363" i="11"/>
  <c r="J294" i="11"/>
  <c r="H297" i="11" s="1"/>
  <c r="J360" i="11"/>
  <c r="D622" i="11"/>
  <c r="D624" i="11" s="1"/>
  <c r="J303" i="11"/>
  <c r="H298" i="11" s="1"/>
  <c r="H296" i="11"/>
  <c r="C638" i="11"/>
  <c r="C639" i="11" s="1"/>
  <c r="D637" i="11"/>
  <c r="F637" i="11" s="1"/>
  <c r="J90" i="11"/>
  <c r="H93" i="11" s="1"/>
  <c r="J148" i="11"/>
  <c r="H92" i="11"/>
  <c r="J157" i="11"/>
  <c r="H164" i="11"/>
  <c r="J171" i="11"/>
  <c r="H166" i="11" s="1"/>
  <c r="J162" i="11"/>
  <c r="H165" i="11" s="1"/>
  <c r="H163" i="11"/>
  <c r="H119" i="11"/>
  <c r="J184" i="11"/>
  <c r="J198" i="11"/>
  <c r="H193" i="11" s="1"/>
  <c r="H191" i="11"/>
  <c r="H118" i="11"/>
  <c r="J175" i="11"/>
  <c r="J189" i="11"/>
  <c r="H192" i="11" s="1"/>
  <c r="H190" i="11"/>
  <c r="J103" i="11"/>
  <c r="H106" i="11" s="1"/>
  <c r="H104" i="11"/>
  <c r="J139" i="11"/>
  <c r="H134" i="11" s="1"/>
  <c r="H132" i="11"/>
  <c r="H105" i="11"/>
  <c r="J112" i="11"/>
  <c r="H107" i="11" s="1"/>
  <c r="J130" i="11"/>
  <c r="H133" i="11" s="1"/>
  <c r="H131" i="11"/>
  <c r="J126" i="11"/>
  <c r="H121" i="11" s="1"/>
  <c r="H353" i="11"/>
  <c r="H354" i="11" s="1"/>
  <c r="H356" i="11" s="1"/>
  <c r="F359" i="11" s="1"/>
  <c r="F228" i="11"/>
  <c r="F229" i="11" s="1"/>
  <c r="H286" i="11"/>
  <c r="F250" i="11"/>
  <c r="H589" i="11" l="1"/>
  <c r="F582" i="11" s="1"/>
  <c r="F583" i="11" s="1"/>
  <c r="F584" i="11" s="1"/>
  <c r="F586" i="11" s="1"/>
  <c r="D570" i="11" s="1"/>
  <c r="F538" i="11"/>
  <c r="F539" i="11" s="1"/>
  <c r="F541" i="11" s="1"/>
  <c r="D529" i="11" s="1"/>
  <c r="D528" i="11"/>
  <c r="D638" i="11"/>
  <c r="E638" i="11"/>
  <c r="J361" i="11"/>
  <c r="H364" i="11" s="1"/>
  <c r="H362" i="11"/>
  <c r="H299" i="11"/>
  <c r="H300" i="11" s="1"/>
  <c r="H302" i="11" s="1"/>
  <c r="F292" i="11" s="1"/>
  <c r="F678" i="11"/>
  <c r="G680" i="11" s="1"/>
  <c r="H678" i="11"/>
  <c r="G681" i="11" s="1"/>
  <c r="G632" i="11"/>
  <c r="G633" i="11"/>
  <c r="G635" i="11"/>
  <c r="G634" i="11"/>
  <c r="G636" i="11"/>
  <c r="G637" i="11"/>
  <c r="H95" i="11"/>
  <c r="H96" i="11" s="1"/>
  <c r="H98" i="11" s="1"/>
  <c r="F100" i="11" s="1"/>
  <c r="H194" i="11"/>
  <c r="H195" i="11" s="1"/>
  <c r="H197" i="11" s="1"/>
  <c r="F187" i="11" s="1"/>
  <c r="H167" i="11"/>
  <c r="H168" i="11" s="1"/>
  <c r="H170" i="11" s="1"/>
  <c r="F160" i="11" s="1"/>
  <c r="H151" i="11"/>
  <c r="J158" i="11"/>
  <c r="H153" i="11" s="1"/>
  <c r="J149" i="11"/>
  <c r="H152" i="11" s="1"/>
  <c r="H150" i="11"/>
  <c r="H177" i="11"/>
  <c r="J176" i="11"/>
  <c r="H179" i="11" s="1"/>
  <c r="H178" i="11"/>
  <c r="J185" i="11"/>
  <c r="H180" i="11" s="1"/>
  <c r="H135" i="11"/>
  <c r="H136" i="11" s="1"/>
  <c r="H138" i="11" s="1"/>
  <c r="F127" i="11" s="1"/>
  <c r="H108" i="11"/>
  <c r="H109" i="11" s="1"/>
  <c r="H111" i="11" s="1"/>
  <c r="F101" i="11" s="1"/>
  <c r="J117" i="11"/>
  <c r="H120" i="11" s="1"/>
  <c r="H122" i="11" s="1"/>
  <c r="H123" i="11" s="1"/>
  <c r="H125" i="11" s="1"/>
  <c r="H326" i="11"/>
  <c r="H313" i="11"/>
  <c r="H314" i="11" s="1"/>
  <c r="H380" i="11"/>
  <c r="H287" i="11"/>
  <c r="H289" i="11" s="1"/>
  <c r="H393" i="11"/>
  <c r="E639" i="11"/>
  <c r="D639" i="11"/>
  <c r="C640" i="11"/>
  <c r="F231" i="11"/>
  <c r="D237" i="11" s="1"/>
  <c r="F251" i="11"/>
  <c r="F253" i="11" s="1"/>
  <c r="D238" i="11" s="1"/>
  <c r="D530" i="11" l="1"/>
  <c r="D531" i="11" s="1"/>
  <c r="D571" i="11"/>
  <c r="D573" i="11" s="1"/>
  <c r="F638" i="11"/>
  <c r="G638" i="11" s="1"/>
  <c r="H366" i="11"/>
  <c r="H367" i="11" s="1"/>
  <c r="H369" i="11" s="1"/>
  <c r="F360" i="11" s="1"/>
  <c r="F361" i="11" s="1"/>
  <c r="F362" i="11" s="1"/>
  <c r="F364" i="11" s="1"/>
  <c r="F291" i="11"/>
  <c r="F293" i="11" s="1"/>
  <c r="F294" i="11" s="1"/>
  <c r="F296" i="11" s="1"/>
  <c r="D304" i="11" s="1"/>
  <c r="F102" i="11"/>
  <c r="F103" i="11" s="1"/>
  <c r="F105" i="11" s="1"/>
  <c r="D113" i="11" s="1"/>
  <c r="H154" i="11"/>
  <c r="H155" i="11" s="1"/>
  <c r="H157" i="11" s="1"/>
  <c r="H181" i="11"/>
  <c r="H182" i="11" s="1"/>
  <c r="H184" i="11" s="1"/>
  <c r="F639" i="11"/>
  <c r="G639" i="11" s="1"/>
  <c r="F126" i="11"/>
  <c r="F128" i="11" s="1"/>
  <c r="F129" i="11" s="1"/>
  <c r="F131" i="11" s="1"/>
  <c r="D114" i="11" s="1"/>
  <c r="H327" i="11"/>
  <c r="H329" i="11" s="1"/>
  <c r="F319" i="11" s="1"/>
  <c r="C641" i="11"/>
  <c r="E640" i="11"/>
  <c r="D640" i="11"/>
  <c r="H381" i="11"/>
  <c r="H383" i="11" s="1"/>
  <c r="F386" i="11" s="1"/>
  <c r="H394" i="11"/>
  <c r="H396" i="11" s="1"/>
  <c r="F387" i="11" s="1"/>
  <c r="H316" i="11"/>
  <c r="F318" i="11" s="1"/>
  <c r="D239" i="11"/>
  <c r="D533" i="11" l="1"/>
  <c r="D605" i="11" s="1"/>
  <c r="D606" i="11" s="1"/>
  <c r="F159" i="11"/>
  <c r="F161" i="11" s="1"/>
  <c r="F162" i="11" s="1"/>
  <c r="F186" i="11"/>
  <c r="F188" i="11" s="1"/>
  <c r="F189" i="11" s="1"/>
  <c r="F191" i="11" s="1"/>
  <c r="D173" i="11" s="1"/>
  <c r="D115" i="11"/>
  <c r="D116" i="11" s="1"/>
  <c r="D118" i="11" s="1"/>
  <c r="G83" i="11" s="1"/>
  <c r="F388" i="11"/>
  <c r="F640" i="11"/>
  <c r="G640" i="11" s="1"/>
  <c r="F320" i="11"/>
  <c r="F321" i="11" s="1"/>
  <c r="D641" i="11"/>
  <c r="C642" i="11"/>
  <c r="E641" i="11"/>
  <c r="D240" i="11"/>
  <c r="D242" i="11" s="1"/>
  <c r="F164" i="11" l="1"/>
  <c r="E642" i="11"/>
  <c r="D642" i="11"/>
  <c r="C643" i="11"/>
  <c r="F641" i="11"/>
  <c r="G641" i="11" s="1"/>
  <c r="F323" i="11"/>
  <c r="D305" i="11" s="1"/>
  <c r="F389" i="11"/>
  <c r="F391" i="11" s="1"/>
  <c r="F642" i="11" l="1"/>
  <c r="G642" i="11" s="1"/>
  <c r="D172" i="11"/>
  <c r="D174" i="11" s="1"/>
  <c r="D373" i="11"/>
  <c r="D306" i="11"/>
  <c r="C644" i="11"/>
  <c r="E643" i="11"/>
  <c r="D643" i="11"/>
  <c r="D175" i="11" l="1"/>
  <c r="D177" i="11" s="1"/>
  <c r="F643" i="11"/>
  <c r="G643" i="11" s="1"/>
  <c r="E644" i="11"/>
  <c r="D644" i="11"/>
  <c r="C645" i="11"/>
  <c r="D307" i="11"/>
  <c r="D309" i="11" s="1"/>
  <c r="D374" i="11"/>
  <c r="D376" i="11" s="1"/>
  <c r="F644" i="11" l="1"/>
  <c r="G644" i="11" s="1"/>
  <c r="C646" i="11"/>
  <c r="E645" i="11"/>
  <c r="D645" i="11"/>
  <c r="F645" i="11" l="1"/>
  <c r="G645" i="11" s="1"/>
  <c r="C647" i="11"/>
  <c r="D646" i="11"/>
  <c r="E646" i="11"/>
  <c r="F646" i="11" l="1"/>
  <c r="G646" i="11" s="1"/>
  <c r="E647" i="11"/>
  <c r="D647" i="11"/>
  <c r="C648" i="11"/>
  <c r="F647" i="11" l="1"/>
  <c r="G647" i="11" s="1"/>
  <c r="C649" i="11"/>
  <c r="E648" i="11"/>
  <c r="D648" i="11"/>
  <c r="F648" i="11" l="1"/>
  <c r="G648" i="11" s="1"/>
  <c r="D649" i="11"/>
  <c r="C650" i="11"/>
  <c r="E649" i="11"/>
  <c r="E650" i="11" l="1"/>
  <c r="D650" i="11"/>
  <c r="C651" i="11"/>
  <c r="F649" i="11"/>
  <c r="G649" i="11" s="1"/>
  <c r="F650" i="11" l="1"/>
  <c r="G650" i="11" s="1"/>
  <c r="C652" i="11"/>
  <c r="E651" i="11"/>
  <c r="D651" i="11"/>
  <c r="F651" i="11" l="1"/>
  <c r="G651" i="11" s="1"/>
  <c r="E652" i="11"/>
  <c r="D652" i="11"/>
  <c r="C653" i="11"/>
  <c r="F652" i="11" l="1"/>
  <c r="G652" i="11" s="1"/>
  <c r="C654" i="11"/>
  <c r="E653" i="11"/>
  <c r="D653" i="11"/>
  <c r="F653" i="11" l="1"/>
  <c r="G653" i="11" s="1"/>
  <c r="C655" i="11"/>
  <c r="E654" i="11"/>
  <c r="D654" i="11"/>
  <c r="F654" i="11" l="1"/>
  <c r="G654" i="11" s="1"/>
  <c r="E655" i="11"/>
  <c r="D655" i="11"/>
  <c r="C656" i="11"/>
  <c r="F655" i="11" l="1"/>
  <c r="G655" i="11" s="1"/>
  <c r="C657" i="11"/>
  <c r="E656" i="11"/>
  <c r="D656" i="11"/>
  <c r="F656" i="11" l="1"/>
  <c r="G656" i="11" s="1"/>
  <c r="D657" i="11"/>
  <c r="C658" i="11"/>
  <c r="E657" i="11"/>
  <c r="E658" i="11" l="1"/>
  <c r="D658" i="11"/>
  <c r="C659" i="11"/>
  <c r="F657" i="11"/>
  <c r="G657" i="11" s="1"/>
  <c r="F658" i="11" l="1"/>
  <c r="G658" i="11" s="1"/>
  <c r="C660" i="11"/>
  <c r="E659" i="11"/>
  <c r="D659" i="11"/>
  <c r="F659" i="11" l="1"/>
  <c r="G659" i="11" s="1"/>
  <c r="E660" i="11"/>
  <c r="D660" i="11"/>
  <c r="C661" i="11"/>
  <c r="F660" i="11" l="1"/>
  <c r="G660" i="11" s="1"/>
  <c r="C662" i="11"/>
  <c r="E661" i="11"/>
  <c r="D661" i="11"/>
  <c r="F661" i="11" l="1"/>
  <c r="G661" i="11" s="1"/>
  <c r="C663" i="11"/>
  <c r="E662" i="11"/>
  <c r="D662" i="11"/>
  <c r="F662" i="11" l="1"/>
  <c r="G662" i="11" s="1"/>
  <c r="E663" i="11"/>
  <c r="D663" i="11"/>
  <c r="C664" i="11"/>
  <c r="F663" i="11" l="1"/>
  <c r="G663" i="11" s="1"/>
  <c r="C665" i="11"/>
  <c r="E664" i="11"/>
  <c r="D664" i="11"/>
  <c r="F664" i="11" l="1"/>
  <c r="G664" i="11" s="1"/>
  <c r="D665" i="11"/>
  <c r="C666" i="11"/>
  <c r="E665" i="11"/>
  <c r="E666" i="11" l="1"/>
  <c r="D666" i="11"/>
  <c r="C667" i="11"/>
  <c r="F665" i="11"/>
  <c r="G665" i="11" s="1"/>
  <c r="F666" i="11" l="1"/>
  <c r="G666" i="11" s="1"/>
  <c r="C668" i="11"/>
  <c r="E667" i="11"/>
  <c r="D667" i="11"/>
  <c r="F667" i="11" l="1"/>
  <c r="G667" i="11" s="1"/>
  <c r="E668" i="11"/>
  <c r="D668" i="11"/>
  <c r="C669" i="11"/>
  <c r="C670" i="11" l="1"/>
  <c r="E669" i="11"/>
  <c r="D669" i="11"/>
  <c r="F668" i="11"/>
  <c r="G668" i="11" s="1"/>
  <c r="F669" i="11" l="1"/>
  <c r="G669" i="11" s="1"/>
  <c r="C671" i="11"/>
  <c r="E670" i="11"/>
  <c r="D670" i="11"/>
  <c r="F670" i="11" l="1"/>
  <c r="G670" i="11" s="1"/>
  <c r="E671" i="11"/>
  <c r="D671" i="11"/>
  <c r="C672" i="11"/>
  <c r="F671" i="11" l="1"/>
  <c r="G671" i="11" s="1"/>
  <c r="E672" i="11"/>
  <c r="D672" i="11"/>
  <c r="F672" i="11" l="1"/>
  <c r="G672" i="11" s="1"/>
</calcChain>
</file>

<file path=xl/sharedStrings.xml><?xml version="1.0" encoding="utf-8"?>
<sst xmlns="http://schemas.openxmlformats.org/spreadsheetml/2006/main" count="921" uniqueCount="291">
  <si>
    <t>1.</t>
  </si>
  <si>
    <t>Maturity (years)</t>
  </si>
  <si>
    <t>2.</t>
  </si>
  <si>
    <t>3.</t>
  </si>
  <si>
    <t>4.</t>
  </si>
  <si>
    <t>c.</t>
  </si>
  <si>
    <t>b.</t>
  </si>
  <si>
    <t>a.</t>
  </si>
  <si>
    <t>d.</t>
  </si>
  <si>
    <t>5.</t>
  </si>
  <si>
    <t>6.</t>
  </si>
  <si>
    <t>e.</t>
  </si>
  <si>
    <t>8.</t>
  </si>
  <si>
    <t>9.</t>
  </si>
  <si>
    <t>a</t>
  </si>
  <si>
    <t>b</t>
  </si>
  <si>
    <t>c</t>
  </si>
  <si>
    <t>7.</t>
  </si>
  <si>
    <t>10.</t>
  </si>
  <si>
    <t>f.</t>
  </si>
  <si>
    <t>An index is currently trading at 25$.</t>
  </si>
  <si>
    <t>At-the-money call and put options of the index, with maturity of 1-year, are available at 3$ and 1$, respectively.</t>
  </si>
  <si>
    <t>You have an account with 10,000$.</t>
  </si>
  <si>
    <t>Draw the profit graph of investing the entire account:</t>
  </si>
  <si>
    <t>solemnly buying the index itself;</t>
  </si>
  <si>
    <t>solemnly buying call options;</t>
  </si>
  <si>
    <t>What is the value of the account, from question 1, in one year if:</t>
  </si>
  <si>
    <t>What is the return you got in that year?</t>
  </si>
  <si>
    <t>Consider an at-the-money European put option on a stock with current price of $50 and 3 months maturity.</t>
  </si>
  <si>
    <t>The evolution of the stock price over the course of the next 3 months follows a binomial distribution, each month the stock either goes up by 20% or down by 20%.</t>
  </si>
  <si>
    <t>(two decimal places, negative sign for short positions)</t>
  </si>
  <si>
    <t>The continuously-compounded risk-free rate is 3% per annum.</t>
  </si>
  <si>
    <t>In the replicating portfolio of the put, what is the number of shares?</t>
  </si>
  <si>
    <t>Consider the same setup as in the previous question.</t>
  </si>
  <si>
    <t>What is the value of the at-the-money call option?</t>
  </si>
  <si>
    <t>(two decimal places)</t>
  </si>
  <si>
    <t>Consider an American call option with a strike of 4 on a stock with current price of 4.20 and 4 months to maturity.</t>
  </si>
  <si>
    <t>The stock pays a 30c dividend in 4 months and has annualized volatility of 30%.</t>
  </si>
  <si>
    <t>The continuously-compounded risk-free rate is 2.5% per annum.</t>
  </si>
  <si>
    <t>Using a two-step binomial model, what is the value of the option?</t>
  </si>
  <si>
    <t>A stock currently trading at 10$ has a daily volatility of 1%.</t>
  </si>
  <si>
    <t>The stock will pay a 1$ dividend in 80 trading days (assume that the stock will go ex-dividend at the close of trading on the 80th day, such that the American option holder can exercise just before and receive the dividend).</t>
  </si>
  <si>
    <t>The risk-free interest rate is 3%.</t>
  </si>
  <si>
    <t>Assume the year has 240 trading days.</t>
  </si>
  <si>
    <t>Using a three-step binomial model:</t>
  </si>
  <si>
    <t>Calculate the price of a European call option with strike of 10$ and maturity of one year</t>
  </si>
  <si>
    <t>Calculate point 6.a. using the Black-Scholes formula</t>
  </si>
  <si>
    <t>Calculate the price of an American call option with strike of 10$ and maturity of one year</t>
  </si>
  <si>
    <t>Price a European call-option on a stock index with the following characteristics:</t>
  </si>
  <si>
    <t xml:space="preserve"> - the index is currently trading at 39$;</t>
  </si>
  <si>
    <t xml:space="preserve"> - the exercise date is in 3 months;</t>
  </si>
  <si>
    <t xml:space="preserve"> - annual volatility is expected to be 18%;</t>
  </si>
  <si>
    <t xml:space="preserve"> - a 3-months T-bill is currently trading at 993.77$;</t>
  </si>
  <si>
    <t xml:space="preserve"> - and all the assumptions for the correct application of Black-Scholes model hold.</t>
  </si>
  <si>
    <t>Price a European call option on the index, with a strike of 40$, knowing that it pays no dividends</t>
  </si>
  <si>
    <t>Price a European put option on the index, with a strike of 40$, assuming that the index has a continuously compounded dividend yield of 2% a year.</t>
  </si>
  <si>
    <t>A stock, currently valued at 15$, will either rise in price by 3$ or fall by 3$, within the next year.</t>
  </si>
  <si>
    <t>The current risk-free rate is 2% and the market risk premium is 4%.</t>
  </si>
  <si>
    <t>The probability of the stock price going up is 70%, and falling is 30%.</t>
  </si>
  <si>
    <t>Using a one-step binomial model, price a European put option currently trading at-the-money?</t>
  </si>
  <si>
    <t>The following question is about options.</t>
  </si>
  <si>
    <t>Use the following information to answer the next 6 problems.</t>
  </si>
  <si>
    <t>Nova Inc. stock is currently trading at $60.</t>
  </si>
  <si>
    <t>The continuously compounded risk-free rate is 4.5%.</t>
  </si>
  <si>
    <t>The binomial factor u for a period of 1-month, which represents a movement up for the stock price over the next month, is equal to 1.021.</t>
  </si>
  <si>
    <t>Nova Inc. is paying a dividend of $2.5 in exactly one month.</t>
  </si>
  <si>
    <t>In the context of the Binomial Option Pricing Model, what is the Nova Inc. stock volatility implied by the factor u?</t>
  </si>
  <si>
    <t>Find the corresponding binomial factor d.</t>
  </si>
  <si>
    <t>There is a European call option on Nova Inc. stock trading on the market.</t>
  </si>
  <si>
    <t>The strike price of this option is $55.</t>
  </si>
  <si>
    <t>The expiration of the option is in two months.</t>
  </si>
  <si>
    <t>What is the lower bound for the value c of this call option?</t>
  </si>
  <si>
    <t>Find the exact value c for this option using the Binomial Option Pricing Model</t>
  </si>
  <si>
    <t>There is also an American option written on Nova Inc. stock, with the same strike price.</t>
  </si>
  <si>
    <t>What is the price C of this option?</t>
  </si>
  <si>
    <t>Is it different than the price c of its European counterpart?</t>
  </si>
  <si>
    <t>If yes, explain why you observe this difference.</t>
  </si>
  <si>
    <t>Suppose that you can also find European put options on Nova Inc. stock, with the same strike price and time to maturity of the call option you priced in point 3.</t>
  </si>
  <si>
    <t>Furthermore, suppose that you possess private information that make your expectations about Nova Inc. stock volatility exceed the market volatility estimates implied by option prices.</t>
  </si>
  <si>
    <t>If you wish to take advantage of your private information, should you enter a short or a long straddle?</t>
  </si>
  <si>
    <t>What would be the initial cost of your strategy using European options?</t>
  </si>
  <si>
    <t>Draw the graph showing the payoff of your strategy.</t>
  </si>
  <si>
    <t>For what levels of the Nova Inc. stock price in 2 months your profit is positive?</t>
  </si>
  <si>
    <t>Consider an American put option with maturity of 1 year on a non-dividend paying stock that is currently trading at $60.</t>
  </si>
  <si>
    <t>The put has a strike of $70, the risk-free interest rate is 5%, and the volatility of the stock is 30%.</t>
  </si>
  <si>
    <t>Compute the value of the put according to a two-period binomial model.</t>
  </si>
  <si>
    <t>&gt;&gt;&gt;</t>
  </si>
  <si>
    <t>B</t>
  </si>
  <si>
    <t>t=0</t>
  </si>
  <si>
    <t>K</t>
  </si>
  <si>
    <t>p</t>
  </si>
  <si>
    <t>S_0</t>
  </si>
  <si>
    <t>rf</t>
  </si>
  <si>
    <t>Ke^(-rT)</t>
  </si>
  <si>
    <t>&gt;</t>
  </si>
  <si>
    <t>Put price</t>
  </si>
  <si>
    <t>Call</t>
  </si>
  <si>
    <t>Put</t>
  </si>
  <si>
    <t>d</t>
  </si>
  <si>
    <t>Maturity (months)</t>
  </si>
  <si>
    <t>Investment</t>
  </si>
  <si>
    <t>Stock Price in year 1</t>
  </si>
  <si>
    <t>Gain</t>
  </si>
  <si>
    <t>Profit</t>
  </si>
  <si>
    <t># Stocks purchased</t>
  </si>
  <si>
    <t># Calls purchased</t>
  </si>
  <si>
    <t>t = 0</t>
  </si>
  <si>
    <t>t = 1</t>
  </si>
  <si>
    <t>u</t>
  </si>
  <si>
    <t>d_u</t>
  </si>
  <si>
    <t>d_d</t>
  </si>
  <si>
    <t>u_u</t>
  </si>
  <si>
    <t>u_d</t>
  </si>
  <si>
    <t>u_d_d</t>
  </si>
  <si>
    <t>u_d_u</t>
  </si>
  <si>
    <t>d_u_u</t>
  </si>
  <si>
    <t>d_u_d</t>
  </si>
  <si>
    <t>d_d_u</t>
  </si>
  <si>
    <t>d_d_d</t>
  </si>
  <si>
    <t>u_u_u</t>
  </si>
  <si>
    <t>u_u_d</t>
  </si>
  <si>
    <t>t = 2</t>
  </si>
  <si>
    <t>t = 3</t>
  </si>
  <si>
    <t>Stock Prices</t>
  </si>
  <si>
    <t>Delta</t>
  </si>
  <si>
    <t>S_uuu</t>
  </si>
  <si>
    <t>S_uud</t>
  </si>
  <si>
    <t>p_uuu</t>
  </si>
  <si>
    <t>p_uud</t>
  </si>
  <si>
    <t>p_uu</t>
  </si>
  <si>
    <t>S_uu</t>
  </si>
  <si>
    <t>S_udu</t>
  </si>
  <si>
    <t>S_udd</t>
  </si>
  <si>
    <t>p_udu</t>
  </si>
  <si>
    <t>p_udd</t>
  </si>
  <si>
    <t>S_ud</t>
  </si>
  <si>
    <t>p_ud</t>
  </si>
  <si>
    <t>rf (annual)</t>
  </si>
  <si>
    <t>rf x T (monthly)</t>
  </si>
  <si>
    <t>S_duu</t>
  </si>
  <si>
    <t>S_dud</t>
  </si>
  <si>
    <t>p_duu</t>
  </si>
  <si>
    <t>p_dud</t>
  </si>
  <si>
    <t>S_du</t>
  </si>
  <si>
    <t>p_du</t>
  </si>
  <si>
    <t>S_ddu</t>
  </si>
  <si>
    <t>S_ddd</t>
  </si>
  <si>
    <t>p_ddu</t>
  </si>
  <si>
    <t>p_ddd</t>
  </si>
  <si>
    <t>S_dd</t>
  </si>
  <si>
    <t>p_dd</t>
  </si>
  <si>
    <t>S_u</t>
  </si>
  <si>
    <t>p_u</t>
  </si>
  <si>
    <t>S_d</t>
  </si>
  <si>
    <t>p_d</t>
  </si>
  <si>
    <t>Put Price</t>
  </si>
  <si>
    <t>c_uuu</t>
  </si>
  <si>
    <t>c_uud</t>
  </si>
  <si>
    <t>c_uu</t>
  </si>
  <si>
    <t>c_udu</t>
  </si>
  <si>
    <t>c_udd</t>
  </si>
  <si>
    <t>c_ud</t>
  </si>
  <si>
    <t>c_duu</t>
  </si>
  <si>
    <t>c_dud</t>
  </si>
  <si>
    <t>c_du</t>
  </si>
  <si>
    <t>c_ddu</t>
  </si>
  <si>
    <t>c_ddd</t>
  </si>
  <si>
    <t>c_dd</t>
  </si>
  <si>
    <t>c_u</t>
  </si>
  <si>
    <t>c_d</t>
  </si>
  <si>
    <t>Call Price</t>
  </si>
  <si>
    <t>Volatility (annualized)</t>
  </si>
  <si>
    <t>Dividend</t>
  </si>
  <si>
    <t>to be paid in 4 months</t>
  </si>
  <si>
    <t>&gt; &gt; &gt;</t>
  </si>
  <si>
    <t>t = 4</t>
  </si>
  <si>
    <t>S_uu_after-dividend</t>
  </si>
  <si>
    <t>S_ud_after-dividend</t>
  </si>
  <si>
    <t>S_dd_after-dividend</t>
  </si>
  <si>
    <t>S_du_after-dividend</t>
  </si>
  <si>
    <t>C_d</t>
  </si>
  <si>
    <t>C_u</t>
  </si>
  <si>
    <t>C</t>
  </si>
  <si>
    <t>Volatility (daily)</t>
  </si>
  <si>
    <t xml:space="preserve">to be paid in </t>
  </si>
  <si>
    <t>trading days</t>
  </si>
  <si>
    <t>Maturity (days)</t>
  </si>
  <si>
    <t>Stock Price</t>
  </si>
  <si>
    <t>t=80</t>
  </si>
  <si>
    <t>t=160</t>
  </si>
  <si>
    <t>t=240</t>
  </si>
  <si>
    <t>S_u_after-dividend</t>
  </si>
  <si>
    <t>S_d_after-dividend</t>
  </si>
  <si>
    <t>uu</t>
  </si>
  <si>
    <t>ud</t>
  </si>
  <si>
    <t>du</t>
  </si>
  <si>
    <t>dd</t>
  </si>
  <si>
    <t>d1</t>
  </si>
  <si>
    <t>N(d1)</t>
  </si>
  <si>
    <t>d2</t>
  </si>
  <si>
    <t>N(d2)</t>
  </si>
  <si>
    <t>Adjusted S_0</t>
  </si>
  <si>
    <t>ajusted to the PV of dividends</t>
  </si>
  <si>
    <t>Early Exercise</t>
  </si>
  <si>
    <t>Time to exercise (m)</t>
  </si>
  <si>
    <t>Annual volatility</t>
  </si>
  <si>
    <t>3-month T-Bill</t>
  </si>
  <si>
    <t>Rf (3-months)</t>
  </si>
  <si>
    <t>Dividend yield</t>
  </si>
  <si>
    <t>Method 1</t>
  </si>
  <si>
    <t>Method 2</t>
  </si>
  <si>
    <t>via direct relationship of put-call parity</t>
  </si>
  <si>
    <t>u (change in price)</t>
  </si>
  <si>
    <t>prob(u)</t>
  </si>
  <si>
    <t>P_u</t>
  </si>
  <si>
    <t>Rf</t>
  </si>
  <si>
    <t>MRP</t>
  </si>
  <si>
    <t>d (change in price)</t>
  </si>
  <si>
    <t>prob(d)</t>
  </si>
  <si>
    <t>P_d</t>
  </si>
  <si>
    <t>continuously compounded</t>
  </si>
  <si>
    <t>u_factor</t>
  </si>
  <si>
    <t>1-month</t>
  </si>
  <si>
    <t>month</t>
  </si>
  <si>
    <t>Implied volatility</t>
  </si>
  <si>
    <t>Expiration</t>
  </si>
  <si>
    <t>months</t>
  </si>
  <si>
    <t>(annualized)</t>
  </si>
  <si>
    <t>d_factor</t>
  </si>
  <si>
    <t>S_d_after dividend</t>
  </si>
  <si>
    <t>S_u_after dividend</t>
  </si>
  <si>
    <t>American Call Option</t>
  </si>
  <si>
    <t>Lower bound</t>
  </si>
  <si>
    <t>Long Straddle</t>
  </si>
  <si>
    <t>Long</t>
  </si>
  <si>
    <t>Short Straddle</t>
  </si>
  <si>
    <t>Short</t>
  </si>
  <si>
    <t>Binomial Pricing</t>
  </si>
  <si>
    <t>from put-call parity</t>
  </si>
  <si>
    <t>Black-Scholes Pricing</t>
  </si>
  <si>
    <t>S_0_adjusted</t>
  </si>
  <si>
    <t>expiration</t>
  </si>
  <si>
    <t>paid in</t>
  </si>
  <si>
    <t>Volatility</t>
  </si>
  <si>
    <t>annualized</t>
  </si>
  <si>
    <t>Strategy Cost</t>
  </si>
  <si>
    <t>Enter a Long Straddle</t>
  </si>
  <si>
    <t xml:space="preserve">We enter in a long straddle because we are betting there will be a huge move on the price of the bond either up or down ("turmoil") since stock volatility exceed the market volatility estimates implied by option prices. </t>
  </si>
  <si>
    <t>Payoff 1 Call</t>
  </si>
  <si>
    <t>Payoff 1 Put</t>
  </si>
  <si>
    <t>Payoff Strategy</t>
  </si>
  <si>
    <t>Note:</t>
  </si>
  <si>
    <t>For Stock Price</t>
  </si>
  <si>
    <t>Put Payoff is</t>
  </si>
  <si>
    <t>&gt;&gt;&gt;&gt;</t>
  </si>
  <si>
    <t>Strategy Payoff is equal to Call Payoff</t>
  </si>
  <si>
    <t>&lt;</t>
  </si>
  <si>
    <t>Call Payoff is</t>
  </si>
  <si>
    <t>Strategy Payoff is equal to Put Payoff</t>
  </si>
  <si>
    <t>Profit is equal to</t>
  </si>
  <si>
    <t>for Stock prices</t>
  </si>
  <si>
    <t>and</t>
  </si>
  <si>
    <t>Implication:</t>
  </si>
  <si>
    <t xml:space="preserve">Profit is positive for Stock prices </t>
  </si>
  <si>
    <t>Put Option</t>
  </si>
  <si>
    <t>year</t>
  </si>
  <si>
    <t>Two-period binomial model</t>
  </si>
  <si>
    <t>t = 6m</t>
  </si>
  <si>
    <t>t = 12m</t>
  </si>
  <si>
    <t>No Early Exercise</t>
  </si>
  <si>
    <t>P</t>
  </si>
  <si>
    <t>p_u*</t>
  </si>
  <si>
    <t>Solutions &gt;&gt;&gt;</t>
  </si>
  <si>
    <t>d_d_</t>
  </si>
  <si>
    <t>It is optimal to exercise early ($0,94 &gt; $0,53)</t>
  </si>
  <si>
    <t>Indifferent</t>
  </si>
  <si>
    <t>American Call Price</t>
  </si>
  <si>
    <t>European Call Price</t>
  </si>
  <si>
    <t>It is optimal not to exercise early ($4.81 &gt; $0.00)</t>
  </si>
  <si>
    <t>It is optimal to exercise early ($21.47 &gt; $19.74)</t>
  </si>
  <si>
    <t>European Put Price</t>
  </si>
  <si>
    <t>Price_u</t>
  </si>
  <si>
    <t>Price_d</t>
  </si>
  <si>
    <t>It is optimal to exercise early ($6.26 &gt; $3.97)</t>
  </si>
  <si>
    <t>It is optimal to exercise early ($3.77 &gt; $1.47)</t>
  </si>
  <si>
    <t>C_ud</t>
  </si>
  <si>
    <t>C_dd</t>
  </si>
  <si>
    <t>C_du</t>
  </si>
  <si>
    <t>C_uu</t>
  </si>
  <si>
    <t>It is optimal to exercise early ($1.37 &gt; $1.07)</t>
  </si>
  <si>
    <t>It is optimal to exercise early ($0.20 &gt;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</si>
</sst>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409]#,##0.00"/>
    <numFmt numFmtId="165" formatCode="[$$-409]#,##0"/>
    <numFmt numFmtId="166" formatCode="0.0000"/>
    <numFmt numFmtId="167" formatCode="0.000"/>
    <numFmt numFmtId="168" formatCode="[$$-409]#,##0.0000"/>
    <numFmt numFmtId="169" formatCode="0.000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s>
  <fills count="7">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cellStyleXfs>
  <cellXfs count="76">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1" xfId="0" applyBorder="1" applyAlignment="1">
      <alignment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10" fontId="0" fillId="0" borderId="1" xfId="1" applyNumberFormat="1" applyFont="1" applyBorder="1" applyAlignment="1">
      <alignment horizontal="center" vertical="center"/>
    </xf>
    <xf numFmtId="0" fontId="0" fillId="0" borderId="0" xfId="0" applyAlignment="1">
      <alignment horizontal="center" vertical="center"/>
    </xf>
    <xf numFmtId="9"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0" fillId="3" borderId="1" xfId="0" applyFill="1" applyBorder="1" applyAlignment="1">
      <alignment vertical="center"/>
    </xf>
    <xf numFmtId="0" fontId="2" fillId="0" borderId="1" xfId="0" applyFont="1" applyBorder="1" applyAlignment="1">
      <alignment vertical="center"/>
    </xf>
    <xf numFmtId="0" fontId="2" fillId="3" borderId="1" xfId="0" applyFont="1" applyFill="1" applyBorder="1" applyAlignment="1">
      <alignment vertical="center"/>
    </xf>
    <xf numFmtId="0" fontId="0" fillId="0" borderId="1" xfId="0" applyBorder="1" applyAlignment="1">
      <alignment horizontal="left" vertical="center"/>
    </xf>
    <xf numFmtId="164" fontId="2" fillId="2" borderId="1" xfId="0" applyNumberFormat="1" applyFont="1" applyFill="1" applyBorder="1" applyAlignment="1">
      <alignment horizontal="center" vertical="center"/>
    </xf>
    <xf numFmtId="0" fontId="2" fillId="4" borderId="0" xfId="0" applyFont="1" applyFill="1" applyAlignment="1">
      <alignment vertical="center"/>
    </xf>
    <xf numFmtId="165" fontId="0" fillId="3" borderId="1" xfId="0" applyNumberFormat="1" applyFill="1" applyBorder="1" applyAlignment="1">
      <alignment horizontal="center" vertical="center"/>
    </xf>
    <xf numFmtId="165" fontId="0" fillId="0" borderId="1" xfId="0" applyNumberFormat="1" applyBorder="1" applyAlignment="1">
      <alignment horizontal="center" vertical="center"/>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2" fillId="0" borderId="1" xfId="0" applyFont="1" applyBorder="1" applyAlignment="1">
      <alignment horizontal="center" vertical="center"/>
    </xf>
    <xf numFmtId="165" fontId="2" fillId="3" borderId="1" xfId="0" applyNumberFormat="1" applyFont="1" applyFill="1" applyBorder="1" applyAlignment="1">
      <alignment horizontal="center" vertical="center"/>
    </xf>
    <xf numFmtId="1" fontId="0" fillId="0" borderId="1" xfId="0" applyNumberFormat="1" applyBorder="1" applyAlignment="1">
      <alignment horizontal="center" vertical="center"/>
    </xf>
    <xf numFmtId="164" fontId="0" fillId="0" borderId="0" xfId="0" applyNumberFormat="1" applyAlignment="1">
      <alignment horizontal="center" vertical="center"/>
    </xf>
    <xf numFmtId="0" fontId="0" fillId="0" borderId="5" xfId="0" applyBorder="1" applyAlignment="1">
      <alignment vertical="center"/>
    </xf>
    <xf numFmtId="0" fontId="0" fillId="0" borderId="6" xfId="0" applyBorder="1" applyAlignment="1">
      <alignment vertical="center"/>
    </xf>
    <xf numFmtId="164" fontId="0" fillId="0" borderId="6" xfId="0" applyNumberForma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3" xfId="0" applyBorder="1" applyAlignment="1">
      <alignment vertical="center"/>
    </xf>
    <xf numFmtId="168" fontId="2" fillId="2" borderId="1" xfId="0" applyNumberFormat="1" applyFont="1" applyFill="1" applyBorder="1" applyAlignment="1">
      <alignment horizontal="center" vertical="center"/>
    </xf>
    <xf numFmtId="166" fontId="0" fillId="0" borderId="1" xfId="0" applyNumberFormat="1" applyBorder="1" applyAlignment="1">
      <alignment horizontal="center" vertical="center"/>
    </xf>
    <xf numFmtId="169" fontId="0" fillId="0" borderId="1" xfId="0" applyNumberFormat="1" applyBorder="1" applyAlignment="1">
      <alignment horizontal="center" vertical="center"/>
    </xf>
    <xf numFmtId="0" fontId="0" fillId="0" borderId="0" xfId="0" applyAlignment="1">
      <alignment horizontal="left" vertical="center"/>
    </xf>
    <xf numFmtId="0" fontId="0" fillId="0" borderId="2" xfId="0" applyBorder="1" applyAlignment="1">
      <alignment vertical="center"/>
    </xf>
    <xf numFmtId="164" fontId="0" fillId="0" borderId="2" xfId="0" applyNumberFormat="1" applyBorder="1" applyAlignment="1">
      <alignment horizontal="center" vertical="center"/>
    </xf>
    <xf numFmtId="10" fontId="0" fillId="0" borderId="0" xfId="1" applyNumberFormat="1" applyFont="1" applyBorder="1" applyAlignment="1">
      <alignment horizontal="center" vertical="center"/>
    </xf>
    <xf numFmtId="164" fontId="2" fillId="0" borderId="1" xfId="0" applyNumberFormat="1" applyFont="1" applyBorder="1" applyAlignment="1">
      <alignment horizontal="center" vertical="center"/>
    </xf>
    <xf numFmtId="10" fontId="0" fillId="2" borderId="1" xfId="0" applyNumberFormat="1" applyFill="1" applyBorder="1" applyAlignment="1">
      <alignment horizontal="center" vertical="center"/>
    </xf>
    <xf numFmtId="167" fontId="0" fillId="2" borderId="1" xfId="0" applyNumberFormat="1" applyFill="1" applyBorder="1" applyAlignment="1">
      <alignment horizontal="center" vertical="center"/>
    </xf>
    <xf numFmtId="168" fontId="0" fillId="0" borderId="0" xfId="0" applyNumberFormat="1" applyAlignment="1">
      <alignment vertical="center"/>
    </xf>
    <xf numFmtId="0" fontId="0" fillId="5" borderId="1" xfId="0" applyFill="1" applyBorder="1" applyAlignment="1">
      <alignment horizontal="center" vertical="center"/>
    </xf>
    <xf numFmtId="0" fontId="0" fillId="5" borderId="1" xfId="0" applyFill="1" applyBorder="1" applyAlignment="1">
      <alignment vertical="center"/>
    </xf>
    <xf numFmtId="0" fontId="0" fillId="5" borderId="1" xfId="0" applyFill="1" applyBorder="1" applyAlignment="1">
      <alignment horizontal="left" vertical="center"/>
    </xf>
    <xf numFmtId="164" fontId="0" fillId="5" borderId="1" xfId="0" applyNumberFormat="1" applyFill="1" applyBorder="1" applyAlignment="1">
      <alignment horizontal="center" vertical="center"/>
    </xf>
    <xf numFmtId="10"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10" fontId="0" fillId="5" borderId="1" xfId="1" applyNumberFormat="1" applyFont="1" applyFill="1" applyBorder="1" applyAlignment="1">
      <alignment horizontal="center" vertical="center"/>
    </xf>
    <xf numFmtId="164" fontId="2" fillId="0" borderId="0" xfId="0" applyNumberFormat="1" applyFont="1" applyAlignment="1">
      <alignment horizontal="center" vertical="center"/>
    </xf>
    <xf numFmtId="164" fontId="2" fillId="0" borderId="0" xfId="0" applyNumberFormat="1" applyFont="1" applyAlignment="1">
      <alignment horizontal="left" vertical="center"/>
    </xf>
    <xf numFmtId="0" fontId="2" fillId="2" borderId="1" xfId="0" applyFont="1" applyFill="1" applyBorder="1" applyAlignment="1">
      <alignment horizontal="center" vertical="center"/>
    </xf>
    <xf numFmtId="10" fontId="0" fillId="0" borderId="1" xfId="1" applyNumberFormat="1" applyFont="1" applyFill="1" applyBorder="1" applyAlignment="1">
      <alignment horizontal="center" vertical="center"/>
    </xf>
    <xf numFmtId="0" fontId="0" fillId="6" borderId="0" xfId="0" applyFill="1" applyAlignment="1">
      <alignment vertical="center"/>
    </xf>
    <xf numFmtId="0" fontId="3" fillId="6" borderId="0" xfId="0" applyFont="1" applyFill="1" applyAlignment="1">
      <alignment vertical="center"/>
    </xf>
    <xf numFmtId="0" fontId="2" fillId="3" borderId="1" xfId="0" applyFont="1" applyFill="1" applyBorder="1" applyAlignment="1">
      <alignment horizontal="center" vertical="center"/>
    </xf>
    <xf numFmtId="4" fontId="2" fillId="0" borderId="1" xfId="0" applyNumberFormat="1" applyFont="1" applyBorder="1" applyAlignment="1">
      <alignment horizontal="center" vertical="center"/>
    </xf>
    <xf numFmtId="0" fontId="2" fillId="0" borderId="5" xfId="0" applyFont="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168" fontId="2" fillId="0" borderId="1" xfId="0" applyNumberFormat="1" applyFont="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0" fillId="3" borderId="1" xfId="0" applyFill="1" applyBorder="1" applyAlignment="1">
      <alignment horizontal="center" vertical="center"/>
    </xf>
    <xf numFmtId="0" fontId="2" fillId="3" borderId="11"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8" xfId="0" applyFont="1" applyFill="1" applyBorder="1" applyAlignment="1">
      <alignment horizontal="left" vertical="center" wrapText="1"/>
    </xf>
  </cellXfs>
  <cellStyles count="6">
    <cellStyle name="Comma 2" xfId="2" xr:uid="{A7DC269D-EF9C-4FD8-8BDF-A92156FED3E6}"/>
    <cellStyle name="Comma 2 2" xfId="5" xr:uid="{ECDC0EE2-13D7-4818-A8D3-E83A6F7A4899}"/>
    <cellStyle name="Normal" xfId="0" builtinId="0"/>
    <cellStyle name="Normal 2" xfId="3" xr:uid="{0BED6302-F4F9-44A6-A7FB-B6F5B4FAE99B}"/>
    <cellStyle name="Per cent" xfId="1" builtinId="5"/>
    <cellStyle name="Percent 2" xfId="4" xr:uid="{924E495C-4C8B-4F5B-82A3-7C5B34FA4B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'Set 9'!$C$23</c:f>
              <c:strCache>
                <c:ptCount val="1"/>
                <c:pt idx="0">
                  <c:v>Profit</c:v>
                </c:pt>
              </c:strCache>
            </c:strRef>
          </c:tx>
          <c:spPr>
            <a:solidFill>
              <a:schemeClr val="accent1"/>
            </a:solidFill>
            <a:ln>
              <a:noFill/>
            </a:ln>
            <a:effectLst/>
          </c:spPr>
          <c:invertIfNegative val="0"/>
          <c:cat>
            <c:numRef>
              <c:f>'Set 9'!$D$21:$P$21</c:f>
              <c:numCache>
                <c:formatCode>[$$-409]#,##0</c:formatCode>
                <c:ptCount val="13"/>
                <c:pt idx="0">
                  <c:v>0</c:v>
                </c:pt>
                <c:pt idx="1">
                  <c:v>5</c:v>
                </c:pt>
                <c:pt idx="2">
                  <c:v>10</c:v>
                </c:pt>
                <c:pt idx="3">
                  <c:v>15</c:v>
                </c:pt>
                <c:pt idx="4">
                  <c:v>20</c:v>
                </c:pt>
                <c:pt idx="5">
                  <c:v>25</c:v>
                </c:pt>
                <c:pt idx="6">
                  <c:v>30</c:v>
                </c:pt>
                <c:pt idx="7">
                  <c:v>35</c:v>
                </c:pt>
                <c:pt idx="8">
                  <c:v>40</c:v>
                </c:pt>
                <c:pt idx="9">
                  <c:v>45</c:v>
                </c:pt>
                <c:pt idx="10">
                  <c:v>50</c:v>
                </c:pt>
                <c:pt idx="11">
                  <c:v>55</c:v>
                </c:pt>
                <c:pt idx="12">
                  <c:v>60</c:v>
                </c:pt>
              </c:numCache>
            </c:numRef>
          </c:cat>
          <c:val>
            <c:numRef>
              <c:f>'Set 9'!$D$23:$P$23</c:f>
              <c:numCache>
                <c:formatCode>[$$-409]#,##0.00</c:formatCode>
                <c:ptCount val="13"/>
                <c:pt idx="0">
                  <c:v>-10000</c:v>
                </c:pt>
                <c:pt idx="1">
                  <c:v>-8000</c:v>
                </c:pt>
                <c:pt idx="2">
                  <c:v>-6000</c:v>
                </c:pt>
                <c:pt idx="3">
                  <c:v>-4000</c:v>
                </c:pt>
                <c:pt idx="4">
                  <c:v>-2000</c:v>
                </c:pt>
                <c:pt idx="5">
                  <c:v>0</c:v>
                </c:pt>
                <c:pt idx="6">
                  <c:v>2000</c:v>
                </c:pt>
                <c:pt idx="7">
                  <c:v>4000</c:v>
                </c:pt>
                <c:pt idx="8">
                  <c:v>6000</c:v>
                </c:pt>
                <c:pt idx="9">
                  <c:v>8000</c:v>
                </c:pt>
                <c:pt idx="10">
                  <c:v>10000</c:v>
                </c:pt>
                <c:pt idx="11">
                  <c:v>12000</c:v>
                </c:pt>
                <c:pt idx="12">
                  <c:v>14000</c:v>
                </c:pt>
              </c:numCache>
            </c:numRef>
          </c:val>
          <c:extLst>
            <c:ext xmlns:c16="http://schemas.microsoft.com/office/drawing/2014/chart" uri="{C3380CC4-5D6E-409C-BE32-E72D297353CC}">
              <c16:uniqueId val="{00000000-6514-4934-836A-03717E7902DC}"/>
            </c:ext>
          </c:extLst>
        </c:ser>
        <c:dLbls>
          <c:showLegendKey val="0"/>
          <c:showVal val="0"/>
          <c:showCatName val="0"/>
          <c:showSerName val="0"/>
          <c:showPercent val="0"/>
          <c:showBubbleSize val="0"/>
        </c:dLbls>
        <c:gapWidth val="100"/>
        <c:overlap val="-27"/>
        <c:axId val="2057620080"/>
        <c:axId val="2057624240"/>
      </c:barChart>
      <c:catAx>
        <c:axId val="2057620080"/>
        <c:scaling>
          <c:orientation val="minMax"/>
        </c:scaling>
        <c:delete val="0"/>
        <c:axPos val="b"/>
        <c:numFmt formatCode="[$$-409]#,##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624240"/>
        <c:crosses val="autoZero"/>
        <c:auto val="1"/>
        <c:lblAlgn val="ctr"/>
        <c:lblOffset val="100"/>
        <c:noMultiLvlLbl val="0"/>
      </c:catAx>
      <c:valAx>
        <c:axId val="2057624240"/>
        <c:scaling>
          <c:orientation val="minMax"/>
        </c:scaling>
        <c:delete val="1"/>
        <c:axPos val="l"/>
        <c:numFmt formatCode="[$$-409]#,##0.00" sourceLinked="1"/>
        <c:majorTickMark val="none"/>
        <c:minorTickMark val="none"/>
        <c:tickLblPos val="nextTo"/>
        <c:crossAx val="2057620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'Set 9'!$C$46</c:f>
              <c:strCache>
                <c:ptCount val="1"/>
                <c:pt idx="0">
                  <c:v>Profit</c:v>
                </c:pt>
              </c:strCache>
            </c:strRef>
          </c:tx>
          <c:spPr>
            <a:solidFill>
              <a:schemeClr val="accent1"/>
            </a:solidFill>
            <a:ln>
              <a:noFill/>
            </a:ln>
            <a:effectLst/>
          </c:spPr>
          <c:invertIfNegative val="0"/>
          <c:cat>
            <c:numRef>
              <c:f>'Set 9'!$D$44:$P$44</c:f>
              <c:numCache>
                <c:formatCode>[$$-409]#,##0</c:formatCode>
                <c:ptCount val="13"/>
                <c:pt idx="0">
                  <c:v>0</c:v>
                </c:pt>
                <c:pt idx="1">
                  <c:v>5</c:v>
                </c:pt>
                <c:pt idx="2">
                  <c:v>10</c:v>
                </c:pt>
                <c:pt idx="3">
                  <c:v>15</c:v>
                </c:pt>
                <c:pt idx="4">
                  <c:v>20</c:v>
                </c:pt>
                <c:pt idx="5">
                  <c:v>25</c:v>
                </c:pt>
                <c:pt idx="6">
                  <c:v>30</c:v>
                </c:pt>
                <c:pt idx="7">
                  <c:v>35</c:v>
                </c:pt>
                <c:pt idx="8">
                  <c:v>40</c:v>
                </c:pt>
                <c:pt idx="9">
                  <c:v>45</c:v>
                </c:pt>
                <c:pt idx="10">
                  <c:v>50</c:v>
                </c:pt>
                <c:pt idx="11">
                  <c:v>55</c:v>
                </c:pt>
                <c:pt idx="12">
                  <c:v>60</c:v>
                </c:pt>
              </c:numCache>
            </c:numRef>
          </c:cat>
          <c:val>
            <c:numRef>
              <c:f>'Set 9'!$D$46:$P$46</c:f>
              <c:numCache>
                <c:formatCode>[$$-409]#,##0.00</c:formatCode>
                <c:ptCount val="13"/>
                <c:pt idx="0">
                  <c:v>-10000</c:v>
                </c:pt>
                <c:pt idx="1">
                  <c:v>-10000</c:v>
                </c:pt>
                <c:pt idx="2">
                  <c:v>-10000</c:v>
                </c:pt>
                <c:pt idx="3">
                  <c:v>-10000</c:v>
                </c:pt>
                <c:pt idx="4">
                  <c:v>-10000</c:v>
                </c:pt>
                <c:pt idx="5">
                  <c:v>-10000</c:v>
                </c:pt>
                <c:pt idx="6">
                  <c:v>6665</c:v>
                </c:pt>
                <c:pt idx="7">
                  <c:v>23330</c:v>
                </c:pt>
                <c:pt idx="8">
                  <c:v>39995</c:v>
                </c:pt>
                <c:pt idx="9">
                  <c:v>56660</c:v>
                </c:pt>
                <c:pt idx="10">
                  <c:v>73325</c:v>
                </c:pt>
                <c:pt idx="11">
                  <c:v>89990</c:v>
                </c:pt>
                <c:pt idx="12">
                  <c:v>106655</c:v>
                </c:pt>
              </c:numCache>
            </c:numRef>
          </c:val>
          <c:extLst>
            <c:ext xmlns:c16="http://schemas.microsoft.com/office/drawing/2014/chart" uri="{C3380CC4-5D6E-409C-BE32-E72D297353CC}">
              <c16:uniqueId val="{00000000-85D9-4D5B-A4C8-6A7859321C37}"/>
            </c:ext>
          </c:extLst>
        </c:ser>
        <c:dLbls>
          <c:showLegendKey val="0"/>
          <c:showVal val="0"/>
          <c:showCatName val="0"/>
          <c:showSerName val="0"/>
          <c:showPercent val="0"/>
          <c:showBubbleSize val="0"/>
        </c:dLbls>
        <c:gapWidth val="100"/>
        <c:overlap val="-27"/>
        <c:axId val="2057620080"/>
        <c:axId val="2057624240"/>
      </c:barChart>
      <c:catAx>
        <c:axId val="2057620080"/>
        <c:scaling>
          <c:orientation val="minMax"/>
        </c:scaling>
        <c:delete val="0"/>
        <c:axPos val="b"/>
        <c:numFmt formatCode="[$$-409]#,##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624240"/>
        <c:crosses val="autoZero"/>
        <c:auto val="1"/>
        <c:lblAlgn val="ctr"/>
        <c:lblOffset val="100"/>
        <c:noMultiLvlLbl val="0"/>
      </c:catAx>
      <c:valAx>
        <c:axId val="2057624240"/>
        <c:scaling>
          <c:orientation val="minMax"/>
          <c:max val="110000"/>
          <c:min val="-15000"/>
        </c:scaling>
        <c:delete val="1"/>
        <c:axPos val="l"/>
        <c:numFmt formatCode="[$$-409]#,##0.00" sourceLinked="1"/>
        <c:majorTickMark val="out"/>
        <c:minorTickMark val="none"/>
        <c:tickLblPos val="nextTo"/>
        <c:crossAx val="2057620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'Set 9'!$F$631</c:f>
              <c:strCache>
                <c:ptCount val="1"/>
                <c:pt idx="0">
                  <c:v>Payoff Strategy</c:v>
                </c:pt>
              </c:strCache>
            </c:strRef>
          </c:tx>
          <c:spPr>
            <a:ln w="28575" cap="rnd">
              <a:solidFill>
                <a:schemeClr val="accent1"/>
              </a:solidFill>
              <a:round/>
            </a:ln>
            <a:effectLst/>
          </c:spPr>
          <c:marker>
            <c:symbol val="none"/>
          </c:marker>
          <c:cat>
            <c:multiLvlStrRef>
              <c:f>'Set 9'!$C$632:$C$672</c:f>
            </c:multiLvlStrRef>
          </c:cat>
          <c:val>
            <c:numRef>
              <c:f>'Set 9'!$F$632:$F$672</c:f>
            </c:numRef>
          </c:val>
          <c:smooth val="0"/>
          <c:extLst>
            <c:ext xmlns:c16="http://schemas.microsoft.com/office/drawing/2014/chart" uri="{C3380CC4-5D6E-409C-BE32-E72D297353CC}">
              <c16:uniqueId val="{00000000-8D0F-4F4A-B7D0-D893581F8E90}"/>
            </c:ext>
          </c:extLst>
        </c:ser>
        <c:dLbls>
          <c:showLegendKey val="0"/>
          <c:showVal val="0"/>
          <c:showCatName val="0"/>
          <c:showSerName val="0"/>
          <c:showPercent val="0"/>
          <c:showBubbleSize val="0"/>
        </c:dLbls>
        <c:marker val="1"/>
        <c:smooth val="0"/>
        <c:axId val="1284323072"/>
        <c:axId val="1284328480"/>
      </c:lineChart>
      <c:catAx>
        <c:axId val="1284323072"/>
        <c:scaling>
          <c:orientation val="minMax"/>
        </c:scaling>
        <c:delete val="0"/>
        <c:axPos val="b"/>
        <c:numFmt formatCode="[$$-409]#\ ##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328480"/>
        <c:crosses val="autoZero"/>
        <c:auto val="1"/>
        <c:lblAlgn val="ctr"/>
        <c:lblOffset val="100"/>
        <c:noMultiLvlLbl val="0"/>
      </c:catAx>
      <c:valAx>
        <c:axId val="1284328480"/>
        <c:scaling>
          <c:orientation val="minMax"/>
        </c:scaling>
        <c:delete val="0"/>
        <c:axPos val="l"/>
        <c:majorGridlines>
          <c:spPr>
            <a:ln w="9525" cap="flat" cmpd="sng" algn="ctr">
              <a:solidFill>
                <a:schemeClr val="tx1">
                  <a:lumMod val="15000"/>
                  <a:lumOff val="85000"/>
                </a:schemeClr>
              </a:solidFill>
              <a:round/>
            </a:ln>
            <a:effectLst/>
          </c:spPr>
        </c:majorGridlines>
        <c:numFmt formatCode="[$$-409]#\ ##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323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7938</xdr:colOff>
      <xdr:row>24</xdr:row>
      <xdr:rowOff>31750</xdr:rowOff>
    </xdr:from>
    <xdr:to>
      <xdr:col>6</xdr:col>
      <xdr:colOff>900906</xdr:colOff>
      <xdr:row>35</xdr:row>
      <xdr:rowOff>53975</xdr:rowOff>
    </xdr:to>
    <xdr:graphicFrame macro="">
      <xdr:nvGraphicFramePr>
        <xdr:cNvPr id="2" name="Chart 1">
          <a:extLst>
            <a:ext uri="{FF2B5EF4-FFF2-40B4-BE49-F238E27FC236}">
              <a16:creationId xmlns:a16="http://schemas.microsoft.com/office/drawing/2014/main" id="{B1FAA5DF-B415-41A2-86EF-A72E68DFD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47</xdr:row>
      <xdr:rowOff>0</xdr:rowOff>
    </xdr:from>
    <xdr:to>
      <xdr:col>6</xdr:col>
      <xdr:colOff>892968</xdr:colOff>
      <xdr:row>58</xdr:row>
      <xdr:rowOff>22224</xdr:rowOff>
    </xdr:to>
    <xdr:graphicFrame macro="">
      <xdr:nvGraphicFramePr>
        <xdr:cNvPr id="3" name="Chart 2">
          <a:extLst>
            <a:ext uri="{FF2B5EF4-FFF2-40B4-BE49-F238E27FC236}">
              <a16:creationId xmlns:a16="http://schemas.microsoft.com/office/drawing/2014/main" id="{7C42C90B-8779-408D-B57E-4595B800C9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539749</xdr:colOff>
      <xdr:row>629</xdr:row>
      <xdr:rowOff>137582</xdr:rowOff>
    </xdr:from>
    <xdr:to>
      <xdr:col>16</xdr:col>
      <xdr:colOff>137583</xdr:colOff>
      <xdr:row>656</xdr:row>
      <xdr:rowOff>52916</xdr:rowOff>
    </xdr:to>
    <xdr:graphicFrame macro="">
      <xdr:nvGraphicFramePr>
        <xdr:cNvPr id="4" name="Chart 3">
          <a:extLst>
            <a:ext uri="{FF2B5EF4-FFF2-40B4-BE49-F238E27FC236}">
              <a16:creationId xmlns:a16="http://schemas.microsoft.com/office/drawing/2014/main" id="{55E829A3-46F5-45BC-AFF0-C2986A00A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53612-132F-4DCC-96F2-D8918757A912}">
  <sheetPr>
    <tabColor theme="0" tint="-0.249977111117893"/>
  </sheetPr>
  <dimension ref="A1:F7"/>
  <sheetViews>
    <sheetView showGridLines="0" workbookViewId="0"/>
  </sheetViews>
  <sheetFormatPr defaultColWidth="0" defaultRowHeight="14.5" customHeight="1" zeroHeight="1" x14ac:dyDescent="0.35"/>
  <cols>
    <col min="1" max="6" width="8.7265625" customWidth="1"/>
    <col min="7" max="16384" width="8.7265625" hidden="1"/>
  </cols>
  <sheetData>
    <row r="1" spans="1:6" x14ac:dyDescent="0.35">
      <c r="A1" s="53"/>
      <c r="B1" s="53"/>
      <c r="C1" s="53"/>
      <c r="D1" s="53"/>
      <c r="E1" s="53"/>
      <c r="F1" s="53"/>
    </row>
    <row r="2" spans="1:6" x14ac:dyDescent="0.35">
      <c r="A2" s="53"/>
      <c r="B2" s="53"/>
      <c r="C2" s="53"/>
      <c r="D2" s="53"/>
      <c r="E2" s="53"/>
      <c r="F2" s="53"/>
    </row>
    <row r="3" spans="1:6" ht="18.5" x14ac:dyDescent="0.35">
      <c r="A3" s="53"/>
      <c r="B3" s="54" t="s">
        <v>272</v>
      </c>
      <c r="C3" s="53"/>
      <c r="D3" s="53"/>
      <c r="E3" s="53"/>
      <c r="F3" s="53"/>
    </row>
    <row r="4" spans="1:6" x14ac:dyDescent="0.35">
      <c r="A4" s="53"/>
      <c r="B4" s="53"/>
      <c r="C4" s="53"/>
      <c r="D4" s="53"/>
      <c r="E4" s="53"/>
      <c r="F4" s="53"/>
    </row>
    <row r="5" spans="1:6" x14ac:dyDescent="0.35">
      <c r="A5" s="53"/>
      <c r="B5" s="53"/>
      <c r="C5" s="53"/>
      <c r="D5" s="53"/>
      <c r="E5" s="53"/>
      <c r="F5" s="53"/>
    </row>
    <row r="6" spans="1:6" x14ac:dyDescent="0.35">
      <c r="A6" s="53"/>
      <c r="B6" s="53"/>
      <c r="C6" s="53"/>
      <c r="D6" s="53"/>
      <c r="E6" s="53"/>
      <c r="F6" s="53"/>
    </row>
    <row r="7" spans="1:6" x14ac:dyDescent="0.35">
      <c r="A7" s="53"/>
      <c r="B7" s="53"/>
      <c r="C7" s="53"/>
      <c r="D7" s="53"/>
      <c r="E7" s="53"/>
      <c r="F7" s="5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C7A50-EF78-49E6-986F-17C9AEAFE2DA}">
  <sheetPr>
    <tabColor theme="0"/>
  </sheetPr>
  <dimension ref="B2:AA741"/>
  <sheetViews>
    <sheetView showGridLines="0" tabSelected="1" topLeftCell="A73" zoomScale="60" zoomScaleNormal="60" workbookViewId="0">
      <selection activeCell="L94" sqref="L94"/>
    </sheetView>
  </sheetViews>
  <sheetFormatPr defaultRowHeight="14.5" outlineLevelRow="1" x14ac:dyDescent="0.35"/>
  <cols>
    <col min="1" max="1" width="3.6328125" style="1" customWidth="1"/>
    <col min="2" max="2" width="3" style="1" customWidth="1"/>
    <col min="3" max="3" width="25.36328125" style="1" customWidth="1"/>
    <col min="4" max="16" width="18.08984375" style="1" customWidth="1"/>
    <col min="17" max="16384" width="8.7265625" style="1"/>
  </cols>
  <sheetData>
    <row r="2" spans="2:4" ht="18.5" x14ac:dyDescent="0.35">
      <c r="B2" s="3"/>
    </row>
    <row r="3" spans="2:4" x14ac:dyDescent="0.35">
      <c r="B3" s="2"/>
    </row>
    <row r="5" spans="2:4" x14ac:dyDescent="0.35">
      <c r="B5" s="16" t="s">
        <v>0</v>
      </c>
      <c r="C5" s="1" t="s">
        <v>20</v>
      </c>
    </row>
    <row r="6" spans="2:4" x14ac:dyDescent="0.35">
      <c r="B6" s="2"/>
      <c r="C6" s="1" t="s">
        <v>21</v>
      </c>
    </row>
    <row r="7" spans="2:4" x14ac:dyDescent="0.35">
      <c r="C7" s="1" t="s">
        <v>22</v>
      </c>
    </row>
    <row r="8" spans="2:4" x14ac:dyDescent="0.35">
      <c r="C8" s="1" t="s">
        <v>23</v>
      </c>
    </row>
    <row r="10" spans="2:4" x14ac:dyDescent="0.35">
      <c r="B10" s="2" t="s">
        <v>7</v>
      </c>
      <c r="C10" s="1" t="s">
        <v>24</v>
      </c>
    </row>
    <row r="12" spans="2:4" x14ac:dyDescent="0.35">
      <c r="C12" s="4" t="s">
        <v>91</v>
      </c>
      <c r="D12" s="6">
        <v>25</v>
      </c>
    </row>
    <row r="13" spans="2:4" x14ac:dyDescent="0.35">
      <c r="C13" s="4" t="s">
        <v>89</v>
      </c>
      <c r="D13" s="6">
        <v>25</v>
      </c>
    </row>
    <row r="14" spans="2:4" x14ac:dyDescent="0.35">
      <c r="C14" s="4" t="s">
        <v>16</v>
      </c>
      <c r="D14" s="6">
        <v>3</v>
      </c>
    </row>
    <row r="15" spans="2:4" x14ac:dyDescent="0.35">
      <c r="C15" s="4" t="s">
        <v>90</v>
      </c>
      <c r="D15" s="6">
        <v>1</v>
      </c>
    </row>
    <row r="16" spans="2:4" x14ac:dyDescent="0.35">
      <c r="C16" s="4" t="s">
        <v>1</v>
      </c>
      <c r="D16" s="5">
        <v>1</v>
      </c>
    </row>
    <row r="18" spans="3:16" x14ac:dyDescent="0.35">
      <c r="C18" s="4" t="s">
        <v>100</v>
      </c>
      <c r="D18" s="18">
        <v>10000</v>
      </c>
    </row>
    <row r="19" spans="3:16" x14ac:dyDescent="0.35">
      <c r="C19" s="14" t="s">
        <v>104</v>
      </c>
      <c r="D19" s="5">
        <f>D18/D12</f>
        <v>400</v>
      </c>
    </row>
    <row r="21" spans="3:16" x14ac:dyDescent="0.35">
      <c r="C21" s="13" t="s">
        <v>101</v>
      </c>
      <c r="D21" s="22">
        <v>0</v>
      </c>
      <c r="E21" s="22">
        <v>5</v>
      </c>
      <c r="F21" s="22">
        <v>10</v>
      </c>
      <c r="G21" s="22">
        <v>15</v>
      </c>
      <c r="H21" s="22">
        <v>20</v>
      </c>
      <c r="I21" s="22">
        <v>25</v>
      </c>
      <c r="J21" s="22">
        <v>30</v>
      </c>
      <c r="K21" s="22">
        <v>35</v>
      </c>
      <c r="L21" s="22">
        <v>40</v>
      </c>
      <c r="M21" s="22">
        <v>45</v>
      </c>
      <c r="N21" s="22">
        <v>50</v>
      </c>
      <c r="O21" s="22">
        <v>55</v>
      </c>
      <c r="P21" s="22">
        <v>60</v>
      </c>
    </row>
    <row r="22" spans="3:16" x14ac:dyDescent="0.35">
      <c r="C22" s="4" t="s">
        <v>102</v>
      </c>
      <c r="D22" s="6">
        <f>$D$19*D$21</f>
        <v>0</v>
      </c>
      <c r="E22" s="6">
        <f>$D$19*E$21</f>
        <v>2000</v>
      </c>
      <c r="F22" s="6">
        <f t="shared" ref="F22:P22" si="0">$D$19*F$21</f>
        <v>4000</v>
      </c>
      <c r="G22" s="6">
        <f t="shared" si="0"/>
        <v>6000</v>
      </c>
      <c r="H22" s="6">
        <f t="shared" si="0"/>
        <v>8000</v>
      </c>
      <c r="I22" s="6">
        <f t="shared" si="0"/>
        <v>10000</v>
      </c>
      <c r="J22" s="6">
        <f t="shared" si="0"/>
        <v>12000</v>
      </c>
      <c r="K22" s="6">
        <f t="shared" si="0"/>
        <v>14000</v>
      </c>
      <c r="L22" s="6">
        <f t="shared" si="0"/>
        <v>16000</v>
      </c>
      <c r="M22" s="6">
        <f t="shared" si="0"/>
        <v>18000</v>
      </c>
      <c r="N22" s="6">
        <f t="shared" si="0"/>
        <v>20000</v>
      </c>
      <c r="O22" s="6">
        <f t="shared" si="0"/>
        <v>22000</v>
      </c>
      <c r="P22" s="6">
        <f t="shared" si="0"/>
        <v>24000</v>
      </c>
    </row>
    <row r="23" spans="3:16" x14ac:dyDescent="0.35">
      <c r="C23" s="4" t="s">
        <v>103</v>
      </c>
      <c r="D23" s="6">
        <f>D22-$D$18</f>
        <v>-10000</v>
      </c>
      <c r="E23" s="6">
        <f t="shared" ref="E23:P23" si="1">E22-$D$18</f>
        <v>-8000</v>
      </c>
      <c r="F23" s="6">
        <f t="shared" si="1"/>
        <v>-6000</v>
      </c>
      <c r="G23" s="6">
        <f t="shared" si="1"/>
        <v>-4000</v>
      </c>
      <c r="H23" s="6">
        <f t="shared" si="1"/>
        <v>-2000</v>
      </c>
      <c r="I23" s="6">
        <f t="shared" si="1"/>
        <v>0</v>
      </c>
      <c r="J23" s="6">
        <f t="shared" si="1"/>
        <v>2000</v>
      </c>
      <c r="K23" s="6">
        <f t="shared" si="1"/>
        <v>4000</v>
      </c>
      <c r="L23" s="6">
        <f t="shared" si="1"/>
        <v>6000</v>
      </c>
      <c r="M23" s="6">
        <f t="shared" si="1"/>
        <v>8000</v>
      </c>
      <c r="N23" s="6">
        <f t="shared" si="1"/>
        <v>10000</v>
      </c>
      <c r="O23" s="6">
        <f t="shared" si="1"/>
        <v>12000</v>
      </c>
      <c r="P23" s="6">
        <f t="shared" si="1"/>
        <v>14000</v>
      </c>
    </row>
    <row r="39" spans="2:16" x14ac:dyDescent="0.35">
      <c r="B39" s="2" t="s">
        <v>6</v>
      </c>
      <c r="C39" s="1" t="s">
        <v>25</v>
      </c>
    </row>
    <row r="41" spans="2:16" x14ac:dyDescent="0.35">
      <c r="C41" s="4" t="s">
        <v>100</v>
      </c>
      <c r="D41" s="18">
        <v>10000</v>
      </c>
    </row>
    <row r="42" spans="2:16" x14ac:dyDescent="0.35">
      <c r="C42" s="14" t="s">
        <v>105</v>
      </c>
      <c r="D42" s="23">
        <f>ROUND(D41/D14,0)</f>
        <v>3333</v>
      </c>
    </row>
    <row r="44" spans="2:16" x14ac:dyDescent="0.35">
      <c r="C44" s="13" t="s">
        <v>101</v>
      </c>
      <c r="D44" s="22">
        <v>0</v>
      </c>
      <c r="E44" s="22">
        <v>5</v>
      </c>
      <c r="F44" s="22">
        <v>10</v>
      </c>
      <c r="G44" s="22">
        <v>15</v>
      </c>
      <c r="H44" s="22">
        <v>20</v>
      </c>
      <c r="I44" s="22">
        <v>25</v>
      </c>
      <c r="J44" s="22">
        <v>30</v>
      </c>
      <c r="K44" s="22">
        <v>35</v>
      </c>
      <c r="L44" s="22">
        <v>40</v>
      </c>
      <c r="M44" s="22">
        <v>45</v>
      </c>
      <c r="N44" s="22">
        <v>50</v>
      </c>
      <c r="O44" s="22">
        <v>55</v>
      </c>
      <c r="P44" s="22">
        <v>60</v>
      </c>
    </row>
    <row r="45" spans="2:16" x14ac:dyDescent="0.35">
      <c r="C45" s="4" t="s">
        <v>102</v>
      </c>
      <c r="D45" s="6">
        <f>IF(D44&lt;$D$13,0,(D$44-$D$13)*$D$42)</f>
        <v>0</v>
      </c>
      <c r="E45" s="6">
        <f t="shared" ref="E45:P45" si="2">IF(E44&lt;$D$13,0,(E$44-$D$13)*$D$42)</f>
        <v>0</v>
      </c>
      <c r="F45" s="6">
        <f t="shared" si="2"/>
        <v>0</v>
      </c>
      <c r="G45" s="6">
        <f t="shared" si="2"/>
        <v>0</v>
      </c>
      <c r="H45" s="6">
        <f t="shared" si="2"/>
        <v>0</v>
      </c>
      <c r="I45" s="6">
        <f t="shared" si="2"/>
        <v>0</v>
      </c>
      <c r="J45" s="6">
        <f>IF(J44&lt;$D$13,0,(J$44-$D$13)*$D$42)</f>
        <v>16665</v>
      </c>
      <c r="K45" s="6">
        <f t="shared" si="2"/>
        <v>33330</v>
      </c>
      <c r="L45" s="6">
        <f t="shared" si="2"/>
        <v>49995</v>
      </c>
      <c r="M45" s="6">
        <f t="shared" si="2"/>
        <v>66660</v>
      </c>
      <c r="N45" s="6">
        <f t="shared" si="2"/>
        <v>83325</v>
      </c>
      <c r="O45" s="6">
        <f t="shared" si="2"/>
        <v>99990</v>
      </c>
      <c r="P45" s="6">
        <f t="shared" si="2"/>
        <v>116655</v>
      </c>
    </row>
    <row r="46" spans="2:16" x14ac:dyDescent="0.35">
      <c r="C46" s="4" t="s">
        <v>103</v>
      </c>
      <c r="D46" s="6">
        <f>D45-$D$18</f>
        <v>-10000</v>
      </c>
      <c r="E46" s="6">
        <f t="shared" ref="E46:P46" si="3">E45-$D$18</f>
        <v>-10000</v>
      </c>
      <c r="F46" s="6">
        <f t="shared" si="3"/>
        <v>-10000</v>
      </c>
      <c r="G46" s="6">
        <f t="shared" si="3"/>
        <v>-10000</v>
      </c>
      <c r="H46" s="6">
        <f t="shared" si="3"/>
        <v>-10000</v>
      </c>
      <c r="I46" s="6">
        <f t="shared" si="3"/>
        <v>-10000</v>
      </c>
      <c r="J46" s="6">
        <f t="shared" si="3"/>
        <v>6665</v>
      </c>
      <c r="K46" s="6">
        <f t="shared" si="3"/>
        <v>23330</v>
      </c>
      <c r="L46" s="6">
        <f t="shared" si="3"/>
        <v>39995</v>
      </c>
      <c r="M46" s="6">
        <f t="shared" si="3"/>
        <v>56660</v>
      </c>
      <c r="N46" s="6">
        <f t="shared" si="3"/>
        <v>73325</v>
      </c>
      <c r="O46" s="6">
        <f t="shared" si="3"/>
        <v>89990</v>
      </c>
      <c r="P46" s="6">
        <f t="shared" si="3"/>
        <v>106655</v>
      </c>
    </row>
    <row r="61" spans="2:7" x14ac:dyDescent="0.35">
      <c r="B61" s="16" t="s">
        <v>2</v>
      </c>
      <c r="C61" s="1" t="s">
        <v>26</v>
      </c>
    </row>
    <row r="62" spans="2:7" hidden="1" outlineLevel="1" x14ac:dyDescent="0.35"/>
    <row r="63" spans="2:7" hidden="1" outlineLevel="1" x14ac:dyDescent="0.35">
      <c r="B63" s="11"/>
      <c r="C63" s="17">
        <v>15</v>
      </c>
      <c r="D63" s="17">
        <v>20</v>
      </c>
      <c r="E63" s="17">
        <v>25</v>
      </c>
      <c r="F63" s="17">
        <v>30</v>
      </c>
      <c r="G63" s="17">
        <v>35</v>
      </c>
    </row>
    <row r="64" spans="2:7" hidden="1" outlineLevel="1" x14ac:dyDescent="0.35">
      <c r="B64" s="12" t="s">
        <v>14</v>
      </c>
      <c r="C64" s="6">
        <f>G22</f>
        <v>6000</v>
      </c>
      <c r="D64" s="6">
        <f>H22</f>
        <v>8000</v>
      </c>
      <c r="E64" s="6">
        <f>I22</f>
        <v>10000</v>
      </c>
      <c r="F64" s="6">
        <f>J22</f>
        <v>12000</v>
      </c>
      <c r="G64" s="6">
        <f>K22</f>
        <v>14000</v>
      </c>
    </row>
    <row r="65" spans="2:7" hidden="1" outlineLevel="1" x14ac:dyDescent="0.35">
      <c r="B65" s="12" t="s">
        <v>15</v>
      </c>
      <c r="C65" s="6">
        <f>G45</f>
        <v>0</v>
      </c>
      <c r="D65" s="6">
        <f>H45</f>
        <v>0</v>
      </c>
      <c r="E65" s="6">
        <f>I45</f>
        <v>0</v>
      </c>
      <c r="F65" s="6">
        <f>J45</f>
        <v>16665</v>
      </c>
      <c r="G65" s="6">
        <f>K45</f>
        <v>33330</v>
      </c>
    </row>
    <row r="66" spans="2:7" collapsed="1" x14ac:dyDescent="0.35"/>
    <row r="67" spans="2:7" x14ac:dyDescent="0.35">
      <c r="B67" s="2" t="s">
        <v>7</v>
      </c>
      <c r="C67" s="1" t="s">
        <v>27</v>
      </c>
    </row>
    <row r="68" spans="2:7" hidden="1" outlineLevel="1" x14ac:dyDescent="0.35"/>
    <row r="69" spans="2:7" hidden="1" outlineLevel="1" x14ac:dyDescent="0.35">
      <c r="B69" s="11"/>
      <c r="C69" s="17">
        <v>15</v>
      </c>
      <c r="D69" s="17">
        <v>20</v>
      </c>
      <c r="E69" s="17">
        <v>25</v>
      </c>
      <c r="F69" s="17">
        <v>30</v>
      </c>
      <c r="G69" s="17">
        <v>35</v>
      </c>
    </row>
    <row r="70" spans="2:7" hidden="1" outlineLevel="1" x14ac:dyDescent="0.35">
      <c r="B70" s="12" t="s">
        <v>14</v>
      </c>
      <c r="C70" s="7">
        <f t="shared" ref="C70:G71" si="4">C64/10000-1</f>
        <v>-0.4</v>
      </c>
      <c r="D70" s="7">
        <f t="shared" si="4"/>
        <v>-0.19999999999999996</v>
      </c>
      <c r="E70" s="7">
        <f t="shared" si="4"/>
        <v>0</v>
      </c>
      <c r="F70" s="7">
        <f t="shared" si="4"/>
        <v>0.19999999999999996</v>
      </c>
      <c r="G70" s="7">
        <f t="shared" si="4"/>
        <v>0.39999999999999991</v>
      </c>
    </row>
    <row r="71" spans="2:7" hidden="1" outlineLevel="1" x14ac:dyDescent="0.35">
      <c r="B71" s="12" t="s">
        <v>15</v>
      </c>
      <c r="C71" s="7">
        <f t="shared" si="4"/>
        <v>-1</v>
      </c>
      <c r="D71" s="7">
        <f t="shared" si="4"/>
        <v>-1</v>
      </c>
      <c r="E71" s="7">
        <f t="shared" si="4"/>
        <v>-1</v>
      </c>
      <c r="F71" s="7">
        <f t="shared" si="4"/>
        <v>0.66650000000000009</v>
      </c>
      <c r="G71" s="7">
        <f t="shared" si="4"/>
        <v>2.3330000000000002</v>
      </c>
    </row>
    <row r="72" spans="2:7" collapsed="1" x14ac:dyDescent="0.35"/>
    <row r="74" spans="2:7" x14ac:dyDescent="0.35">
      <c r="B74" s="16" t="s">
        <v>3</v>
      </c>
      <c r="C74" s="1" t="s">
        <v>28</v>
      </c>
    </row>
    <row r="75" spans="2:7" x14ac:dyDescent="0.35">
      <c r="C75" s="1" t="s">
        <v>29</v>
      </c>
    </row>
    <row r="76" spans="2:7" x14ac:dyDescent="0.35">
      <c r="C76" s="1" t="s">
        <v>31</v>
      </c>
    </row>
    <row r="77" spans="2:7" x14ac:dyDescent="0.35">
      <c r="C77" s="1" t="s">
        <v>32</v>
      </c>
    </row>
    <row r="78" spans="2:7" x14ac:dyDescent="0.35">
      <c r="C78" s="1" t="s">
        <v>30</v>
      </c>
    </row>
    <row r="79" spans="2:7" outlineLevel="1" x14ac:dyDescent="0.35"/>
    <row r="80" spans="2:7" outlineLevel="1" x14ac:dyDescent="0.35">
      <c r="C80" s="4" t="s">
        <v>91</v>
      </c>
      <c r="D80" s="6">
        <v>50</v>
      </c>
      <c r="F80" s="4" t="s">
        <v>108</v>
      </c>
      <c r="G80" s="9">
        <v>0.2</v>
      </c>
    </row>
    <row r="81" spans="3:15" outlineLevel="1" x14ac:dyDescent="0.35">
      <c r="C81" s="4" t="s">
        <v>89</v>
      </c>
      <c r="D81" s="6">
        <v>50</v>
      </c>
      <c r="F81" s="4" t="s">
        <v>98</v>
      </c>
      <c r="G81" s="9">
        <v>-0.2</v>
      </c>
    </row>
    <row r="82" spans="3:15" outlineLevel="1" x14ac:dyDescent="0.35">
      <c r="C82" s="4" t="s">
        <v>1</v>
      </c>
      <c r="D82" s="5">
        <f>3/12</f>
        <v>0.25</v>
      </c>
    </row>
    <row r="83" spans="3:15" outlineLevel="1" x14ac:dyDescent="0.35">
      <c r="C83" s="4" t="s">
        <v>137</v>
      </c>
      <c r="D83" s="9">
        <v>0.03</v>
      </c>
      <c r="F83" s="12" t="s">
        <v>95</v>
      </c>
      <c r="G83" s="15">
        <f>D118</f>
        <v>7.1777577497562994</v>
      </c>
    </row>
    <row r="84" spans="3:15" outlineLevel="1" x14ac:dyDescent="0.35">
      <c r="C84" s="4" t="s">
        <v>138</v>
      </c>
      <c r="D84" s="10">
        <f>D83/12</f>
        <v>2.5000000000000001E-3</v>
      </c>
    </row>
    <row r="85" spans="3:15" outlineLevel="1" x14ac:dyDescent="0.35"/>
    <row r="86" spans="3:15" outlineLevel="1" x14ac:dyDescent="0.35">
      <c r="C86" s="2"/>
    </row>
    <row r="87" spans="3:15" outlineLevel="1" x14ac:dyDescent="0.35">
      <c r="C87" s="65" t="s">
        <v>106</v>
      </c>
      <c r="D87" s="65"/>
      <c r="E87" s="65" t="s">
        <v>107</v>
      </c>
      <c r="F87" s="65"/>
      <c r="G87" s="65" t="s">
        <v>121</v>
      </c>
      <c r="H87" s="65"/>
      <c r="I87" s="65" t="s">
        <v>122</v>
      </c>
      <c r="J87" s="65"/>
    </row>
    <row r="88" spans="3:15" outlineLevel="1" x14ac:dyDescent="0.35">
      <c r="C88" s="25"/>
      <c r="I88" s="2" t="s">
        <v>119</v>
      </c>
      <c r="J88" s="26"/>
    </row>
    <row r="89" spans="3:15" outlineLevel="1" x14ac:dyDescent="0.35">
      <c r="C89" s="25"/>
      <c r="G89" s="2" t="s">
        <v>111</v>
      </c>
      <c r="I89" s="4" t="s">
        <v>125</v>
      </c>
      <c r="J89" s="6">
        <f>H97*(1+$G$80)</f>
        <v>86.399999999999991</v>
      </c>
    </row>
    <row r="90" spans="3:15" outlineLevel="1" x14ac:dyDescent="0.35">
      <c r="C90" s="25"/>
      <c r="G90" s="4" t="s">
        <v>89</v>
      </c>
      <c r="H90" s="6">
        <f>$D$81</f>
        <v>50</v>
      </c>
      <c r="I90" s="12" t="s">
        <v>127</v>
      </c>
      <c r="J90" s="15">
        <f>IF(J89&lt;$D$81,$D$81-J89,0)</f>
        <v>0</v>
      </c>
    </row>
    <row r="91" spans="3:15" outlineLevel="1" x14ac:dyDescent="0.35">
      <c r="C91" s="25"/>
      <c r="G91" s="4" t="s">
        <v>125</v>
      </c>
      <c r="H91" s="6">
        <f>J89</f>
        <v>86.399999999999991</v>
      </c>
      <c r="J91" s="26"/>
    </row>
    <row r="92" spans="3:15" outlineLevel="1" x14ac:dyDescent="0.35">
      <c r="C92" s="25"/>
      <c r="G92" s="4" t="s">
        <v>126</v>
      </c>
      <c r="H92" s="6">
        <f>J98</f>
        <v>57.6</v>
      </c>
      <c r="J92" s="26"/>
    </row>
    <row r="93" spans="3:15" outlineLevel="1" x14ac:dyDescent="0.35">
      <c r="C93" s="25"/>
      <c r="G93" s="4" t="s">
        <v>127</v>
      </c>
      <c r="H93" s="6">
        <f>J90</f>
        <v>0</v>
      </c>
      <c r="J93" s="26"/>
    </row>
    <row r="94" spans="3:15" outlineLevel="1" x14ac:dyDescent="0.35">
      <c r="C94" s="25"/>
      <c r="G94" s="4" t="s">
        <v>128</v>
      </c>
      <c r="H94" s="6">
        <f>J99</f>
        <v>0</v>
      </c>
      <c r="J94" s="26"/>
    </row>
    <row r="95" spans="3:15" outlineLevel="1" x14ac:dyDescent="0.35">
      <c r="C95" s="25"/>
      <c r="G95" s="12" t="s">
        <v>124</v>
      </c>
      <c r="H95" s="56">
        <f>(H93-H94)/(H91-H92)</f>
        <v>0</v>
      </c>
      <c r="J95" s="26"/>
      <c r="O95" s="24"/>
    </row>
    <row r="96" spans="3:15" outlineLevel="1" x14ac:dyDescent="0.35">
      <c r="C96" s="25"/>
      <c r="E96" s="2" t="s">
        <v>108</v>
      </c>
      <c r="G96" s="12" t="s">
        <v>87</v>
      </c>
      <c r="H96" s="56">
        <f>(H94-H92*H95)*EXP(-$D$84)</f>
        <v>0</v>
      </c>
      <c r="J96" s="26"/>
    </row>
    <row r="97" spans="3:27" outlineLevel="1" x14ac:dyDescent="0.35">
      <c r="C97" s="25"/>
      <c r="E97" s="4" t="s">
        <v>89</v>
      </c>
      <c r="F97" s="6">
        <f>$D$81</f>
        <v>50</v>
      </c>
      <c r="G97" s="12" t="s">
        <v>130</v>
      </c>
      <c r="H97" s="38">
        <f>F104*(1+$G$80)</f>
        <v>72</v>
      </c>
      <c r="I97" s="2" t="s">
        <v>120</v>
      </c>
      <c r="J97" s="26"/>
    </row>
    <row r="98" spans="3:27" outlineLevel="1" x14ac:dyDescent="0.35">
      <c r="C98" s="25"/>
      <c r="E98" s="4" t="s">
        <v>130</v>
      </c>
      <c r="F98" s="6">
        <f>H97</f>
        <v>72</v>
      </c>
      <c r="G98" s="12" t="s">
        <v>129</v>
      </c>
      <c r="H98" s="15">
        <f>H97*H95+H96</f>
        <v>0</v>
      </c>
      <c r="I98" s="4" t="s">
        <v>126</v>
      </c>
      <c r="J98" s="6">
        <f>H97*(1+$G$81)</f>
        <v>57.6</v>
      </c>
    </row>
    <row r="99" spans="3:27" outlineLevel="1" x14ac:dyDescent="0.35">
      <c r="C99" s="25"/>
      <c r="E99" s="4" t="s">
        <v>135</v>
      </c>
      <c r="F99" s="6">
        <f>H110</f>
        <v>48</v>
      </c>
      <c r="I99" s="12" t="s">
        <v>128</v>
      </c>
      <c r="J99" s="15">
        <f>IF(J98&lt;$D$81,$D$81-J98,0)</f>
        <v>0</v>
      </c>
      <c r="M99" s="24"/>
    </row>
    <row r="100" spans="3:27" outlineLevel="1" x14ac:dyDescent="0.35">
      <c r="C100" s="25"/>
      <c r="E100" s="4" t="s">
        <v>129</v>
      </c>
      <c r="F100" s="6">
        <f>H98</f>
        <v>0</v>
      </c>
      <c r="J100" s="26"/>
    </row>
    <row r="101" spans="3:27" outlineLevel="1" x14ac:dyDescent="0.35">
      <c r="C101" s="25"/>
      <c r="E101" s="4" t="s">
        <v>136</v>
      </c>
      <c r="F101" s="6">
        <f>H111</f>
        <v>5.7131086594316081</v>
      </c>
      <c r="I101" s="2" t="s">
        <v>114</v>
      </c>
      <c r="J101" s="26"/>
    </row>
    <row r="102" spans="3:27" outlineLevel="1" x14ac:dyDescent="0.35">
      <c r="C102" s="25"/>
      <c r="E102" s="12" t="s">
        <v>124</v>
      </c>
      <c r="F102" s="56">
        <f>(F100-F101)/(F98-F99)</f>
        <v>-0.23804619414298367</v>
      </c>
      <c r="G102" s="2" t="s">
        <v>112</v>
      </c>
      <c r="I102" s="4" t="s">
        <v>131</v>
      </c>
      <c r="J102" s="6">
        <f>H110*(1+$G$80)</f>
        <v>57.599999999999994</v>
      </c>
    </row>
    <row r="103" spans="3:27" outlineLevel="1" x14ac:dyDescent="0.35">
      <c r="C103" s="25"/>
      <c r="E103" s="12" t="s">
        <v>87</v>
      </c>
      <c r="F103" s="56">
        <f>(F101-F99*F102)*EXP(-$D$84)</f>
        <v>17.096531179136988</v>
      </c>
      <c r="G103" s="4" t="s">
        <v>89</v>
      </c>
      <c r="H103" s="6">
        <f>$D$81</f>
        <v>50</v>
      </c>
      <c r="I103" s="12" t="s">
        <v>127</v>
      </c>
      <c r="J103" s="15">
        <f>IF(J102&lt;$D$81,$D$81-J102,0)</f>
        <v>0</v>
      </c>
      <c r="O103" s="24"/>
      <c r="AA103" s="24"/>
    </row>
    <row r="104" spans="3:27" outlineLevel="1" x14ac:dyDescent="0.35">
      <c r="C104" s="25"/>
      <c r="E104" s="12" t="s">
        <v>151</v>
      </c>
      <c r="F104" s="38">
        <f>D117*(1+$G$80)</f>
        <v>60</v>
      </c>
      <c r="G104" s="4" t="s">
        <v>131</v>
      </c>
      <c r="H104" s="6">
        <f>J102</f>
        <v>57.599999999999994</v>
      </c>
      <c r="J104" s="26"/>
      <c r="U104" s="24"/>
    </row>
    <row r="105" spans="3:27" outlineLevel="1" x14ac:dyDescent="0.35">
      <c r="C105" s="25"/>
      <c r="E105" s="12" t="s">
        <v>152</v>
      </c>
      <c r="F105" s="15">
        <f>F104*F102+F103</f>
        <v>2.8137595305579683</v>
      </c>
      <c r="G105" s="4" t="s">
        <v>132</v>
      </c>
      <c r="H105" s="6">
        <f>J111</f>
        <v>38.400000000000006</v>
      </c>
      <c r="J105" s="26"/>
    </row>
    <row r="106" spans="3:27" outlineLevel="1" x14ac:dyDescent="0.35">
      <c r="C106" s="25"/>
      <c r="G106" s="4" t="s">
        <v>133</v>
      </c>
      <c r="H106" s="6">
        <f>J103</f>
        <v>0</v>
      </c>
      <c r="J106" s="26"/>
    </row>
    <row r="107" spans="3:27" outlineLevel="1" x14ac:dyDescent="0.35">
      <c r="C107" s="25"/>
      <c r="G107" s="4" t="s">
        <v>134</v>
      </c>
      <c r="H107" s="6">
        <f>J112</f>
        <v>11.599999999999994</v>
      </c>
      <c r="J107" s="26"/>
    </row>
    <row r="108" spans="3:27" outlineLevel="1" x14ac:dyDescent="0.35">
      <c r="C108" s="25"/>
      <c r="G108" s="12" t="s">
        <v>124</v>
      </c>
      <c r="H108" s="56">
        <f>(H106-H107)/(H104-H105)</f>
        <v>-0.60416666666666674</v>
      </c>
      <c r="J108" s="26"/>
      <c r="Q108" s="24"/>
    </row>
    <row r="109" spans="3:27" outlineLevel="1" x14ac:dyDescent="0.35">
      <c r="C109" s="57" t="s">
        <v>155</v>
      </c>
      <c r="G109" s="12" t="s">
        <v>87</v>
      </c>
      <c r="H109" s="56">
        <f>(H107-H105*H108)*EXP(-$D$84)</f>
        <v>34.713108659431612</v>
      </c>
      <c r="J109" s="26"/>
    </row>
    <row r="110" spans="3:27" outlineLevel="1" x14ac:dyDescent="0.35">
      <c r="C110" s="4" t="s">
        <v>89</v>
      </c>
      <c r="D110" s="6">
        <f>$D$81</f>
        <v>50</v>
      </c>
      <c r="G110" s="12" t="s">
        <v>135</v>
      </c>
      <c r="H110" s="38">
        <f>F104*(1+$G$81)</f>
        <v>48</v>
      </c>
      <c r="I110" s="2" t="s">
        <v>113</v>
      </c>
      <c r="J110" s="26"/>
      <c r="Q110" s="24"/>
    </row>
    <row r="111" spans="3:27" outlineLevel="1" x14ac:dyDescent="0.35">
      <c r="C111" s="4" t="s">
        <v>151</v>
      </c>
      <c r="D111" s="6">
        <f>F104</f>
        <v>60</v>
      </c>
      <c r="G111" s="12" t="s">
        <v>136</v>
      </c>
      <c r="H111" s="15">
        <f>H110*H108+H109</f>
        <v>5.7131086594316081</v>
      </c>
      <c r="I111" s="4" t="s">
        <v>132</v>
      </c>
      <c r="J111" s="6">
        <f>H110*(1+$G$81)</f>
        <v>38.400000000000006</v>
      </c>
    </row>
    <row r="112" spans="3:27" outlineLevel="1" x14ac:dyDescent="0.35">
      <c r="C112" s="4" t="s">
        <v>153</v>
      </c>
      <c r="D112" s="6">
        <f>F130</f>
        <v>40</v>
      </c>
      <c r="I112" s="12" t="s">
        <v>134</v>
      </c>
      <c r="J112" s="15">
        <f>IF(J111&lt;$D$81,$D$81-J111,0)</f>
        <v>11.599999999999994</v>
      </c>
      <c r="O112" s="24"/>
    </row>
    <row r="113" spans="3:17" outlineLevel="1" x14ac:dyDescent="0.35">
      <c r="C113" s="4" t="s">
        <v>152</v>
      </c>
      <c r="D113" s="6">
        <f>F105</f>
        <v>2.8137595305579683</v>
      </c>
      <c r="J113" s="26"/>
    </row>
    <row r="114" spans="3:17" outlineLevel="1" x14ac:dyDescent="0.35">
      <c r="C114" s="4" t="s">
        <v>154</v>
      </c>
      <c r="D114" s="6">
        <f>F131</f>
        <v>11.688766024884686</v>
      </c>
      <c r="J114" s="26"/>
      <c r="Q114" s="24"/>
    </row>
    <row r="115" spans="3:17" outlineLevel="1" x14ac:dyDescent="0.35">
      <c r="C115" s="4" t="s">
        <v>124</v>
      </c>
      <c r="D115" s="19">
        <f>(D113-D114)/(D111-D112)</f>
        <v>-0.44375032471633585</v>
      </c>
      <c r="I115" s="2" t="s">
        <v>115</v>
      </c>
      <c r="J115" s="26"/>
    </row>
    <row r="116" spans="3:17" outlineLevel="1" x14ac:dyDescent="0.35">
      <c r="C116" s="4" t="s">
        <v>87</v>
      </c>
      <c r="D116" s="19">
        <f>(D114-D112*D115)*EXP(-$D$84)</f>
        <v>29.365273985573094</v>
      </c>
      <c r="G116" s="2" t="s">
        <v>109</v>
      </c>
      <c r="I116" s="4" t="s">
        <v>139</v>
      </c>
      <c r="J116" s="6">
        <f>H124*(1+$G$80)</f>
        <v>57.599999999999994</v>
      </c>
      <c r="M116" s="24"/>
    </row>
    <row r="117" spans="3:17" outlineLevel="1" x14ac:dyDescent="0.35">
      <c r="C117" s="4" t="s">
        <v>91</v>
      </c>
      <c r="D117" s="6">
        <f>D80</f>
        <v>50</v>
      </c>
      <c r="G117" s="4" t="s">
        <v>89</v>
      </c>
      <c r="H117" s="6">
        <f>$D$81</f>
        <v>50</v>
      </c>
      <c r="I117" s="12" t="s">
        <v>141</v>
      </c>
      <c r="J117" s="15">
        <f>IF(J116&lt;$D$81,$D$81-J116,0)</f>
        <v>0</v>
      </c>
    </row>
    <row r="118" spans="3:17" outlineLevel="1" x14ac:dyDescent="0.35">
      <c r="C118" s="12" t="s">
        <v>90</v>
      </c>
      <c r="D118" s="15">
        <f>D117*D115+D116</f>
        <v>7.1777577497562994</v>
      </c>
      <c r="G118" s="4" t="s">
        <v>139</v>
      </c>
      <c r="H118" s="6">
        <f>J116</f>
        <v>57.599999999999994</v>
      </c>
      <c r="J118" s="26"/>
      <c r="Q118" s="24"/>
    </row>
    <row r="119" spans="3:17" outlineLevel="1" x14ac:dyDescent="0.35">
      <c r="C119" s="25"/>
      <c r="G119" s="4" t="s">
        <v>140</v>
      </c>
      <c r="H119" s="6">
        <f>J125</f>
        <v>38.400000000000006</v>
      </c>
      <c r="J119" s="26"/>
    </row>
    <row r="120" spans="3:17" outlineLevel="1" x14ac:dyDescent="0.35">
      <c r="C120" s="25"/>
      <c r="G120" s="4" t="s">
        <v>141</v>
      </c>
      <c r="H120" s="6">
        <f>J117</f>
        <v>0</v>
      </c>
      <c r="J120" s="26"/>
      <c r="O120" s="24"/>
    </row>
    <row r="121" spans="3:17" outlineLevel="1" x14ac:dyDescent="0.35">
      <c r="C121" s="25"/>
      <c r="G121" s="4" t="s">
        <v>142</v>
      </c>
      <c r="H121" s="6">
        <f>J126</f>
        <v>11.599999999999994</v>
      </c>
      <c r="J121" s="26"/>
    </row>
    <row r="122" spans="3:17" outlineLevel="1" x14ac:dyDescent="0.35">
      <c r="C122" s="25"/>
      <c r="E122" s="2" t="s">
        <v>98</v>
      </c>
      <c r="G122" s="12" t="s">
        <v>124</v>
      </c>
      <c r="H122" s="56">
        <f>(H120-H121)/(H118-H119)</f>
        <v>-0.60416666666666674</v>
      </c>
      <c r="J122" s="26"/>
      <c r="Q122" s="24"/>
    </row>
    <row r="123" spans="3:17" outlineLevel="1" x14ac:dyDescent="0.35">
      <c r="C123" s="25"/>
      <c r="E123" s="4" t="s">
        <v>89</v>
      </c>
      <c r="F123" s="6">
        <f>$D$81</f>
        <v>50</v>
      </c>
      <c r="G123" s="12" t="s">
        <v>87</v>
      </c>
      <c r="H123" s="56">
        <f>(H121-H119*H122)*EXP(-$D$84)</f>
        <v>34.713108659431612</v>
      </c>
      <c r="J123" s="26"/>
    </row>
    <row r="124" spans="3:17" outlineLevel="1" x14ac:dyDescent="0.35">
      <c r="C124" s="25"/>
      <c r="E124" s="4" t="s">
        <v>143</v>
      </c>
      <c r="F124" s="6">
        <f>H124</f>
        <v>48</v>
      </c>
      <c r="G124" s="12" t="s">
        <v>143</v>
      </c>
      <c r="H124" s="38">
        <f>F130*(1+$G$80)</f>
        <v>48</v>
      </c>
      <c r="I124" s="2" t="s">
        <v>116</v>
      </c>
      <c r="J124" s="26"/>
    </row>
    <row r="125" spans="3:17" outlineLevel="1" x14ac:dyDescent="0.35">
      <c r="C125" s="25"/>
      <c r="E125" s="4" t="s">
        <v>149</v>
      </c>
      <c r="F125" s="6">
        <f>H137</f>
        <v>32</v>
      </c>
      <c r="G125" s="12" t="s">
        <v>144</v>
      </c>
      <c r="H125" s="15">
        <f>H124*H122+H123</f>
        <v>5.7131086594316081</v>
      </c>
      <c r="I125" s="4" t="s">
        <v>140</v>
      </c>
      <c r="J125" s="6">
        <f>H124*(1+$G$81)</f>
        <v>38.400000000000006</v>
      </c>
    </row>
    <row r="126" spans="3:17" outlineLevel="1" x14ac:dyDescent="0.35">
      <c r="C126" s="25"/>
      <c r="E126" s="4" t="s">
        <v>144</v>
      </c>
      <c r="F126" s="6">
        <f>H125</f>
        <v>5.7131086594316081</v>
      </c>
      <c r="I126" s="12" t="s">
        <v>142</v>
      </c>
      <c r="J126" s="15">
        <f>IF(J125&lt;$D$81,$D$81-J125,0)</f>
        <v>11.599999999999994</v>
      </c>
    </row>
    <row r="127" spans="3:17" outlineLevel="1" x14ac:dyDescent="0.35">
      <c r="C127" s="25"/>
      <c r="E127" s="4" t="s">
        <v>150</v>
      </c>
      <c r="F127" s="6">
        <f>H138</f>
        <v>17.875156119873004</v>
      </c>
      <c r="J127" s="26"/>
    </row>
    <row r="128" spans="3:17" outlineLevel="1" x14ac:dyDescent="0.35">
      <c r="C128" s="25"/>
      <c r="E128" s="12" t="s">
        <v>124</v>
      </c>
      <c r="F128" s="56">
        <f>(F126-F127)/(F124-F125)</f>
        <v>-0.76012796627758727</v>
      </c>
      <c r="I128" s="2" t="s">
        <v>117</v>
      </c>
      <c r="J128" s="26"/>
    </row>
    <row r="129" spans="2:10" outlineLevel="1" x14ac:dyDescent="0.35">
      <c r="C129" s="25"/>
      <c r="E129" s="12" t="s">
        <v>87</v>
      </c>
      <c r="F129" s="56">
        <f>(F127-F125*F128)*EXP(-$D$84)</f>
        <v>42.093884675988178</v>
      </c>
      <c r="G129" s="2" t="s">
        <v>110</v>
      </c>
      <c r="I129" s="4" t="s">
        <v>145</v>
      </c>
      <c r="J129" s="6">
        <f>H137*(1+$G$80)</f>
        <v>38.4</v>
      </c>
    </row>
    <row r="130" spans="2:10" outlineLevel="1" x14ac:dyDescent="0.35">
      <c r="C130" s="25"/>
      <c r="E130" s="12" t="s">
        <v>153</v>
      </c>
      <c r="F130" s="38">
        <f>D117*(1+$G$81)</f>
        <v>40</v>
      </c>
      <c r="G130" s="4" t="s">
        <v>89</v>
      </c>
      <c r="H130" s="6">
        <f>$D$81</f>
        <v>50</v>
      </c>
      <c r="I130" s="12" t="s">
        <v>147</v>
      </c>
      <c r="J130" s="15">
        <f>IF(J129&lt;$D$81,$D$81-J129,0)</f>
        <v>11.600000000000001</v>
      </c>
    </row>
    <row r="131" spans="2:10" outlineLevel="1" x14ac:dyDescent="0.35">
      <c r="C131" s="25"/>
      <c r="E131" s="12" t="s">
        <v>154</v>
      </c>
      <c r="F131" s="15">
        <f>F130*F128+F129</f>
        <v>11.688766024884686</v>
      </c>
      <c r="G131" s="4" t="s">
        <v>145</v>
      </c>
      <c r="H131" s="6">
        <f>J129</f>
        <v>38.4</v>
      </c>
      <c r="J131" s="26"/>
    </row>
    <row r="132" spans="2:10" outlineLevel="1" x14ac:dyDescent="0.35">
      <c r="C132" s="25"/>
      <c r="G132" s="4" t="s">
        <v>146</v>
      </c>
      <c r="H132" s="6">
        <f>J138</f>
        <v>25.6</v>
      </c>
      <c r="J132" s="26"/>
    </row>
    <row r="133" spans="2:10" outlineLevel="1" x14ac:dyDescent="0.35">
      <c r="C133" s="25"/>
      <c r="G133" s="4" t="s">
        <v>147</v>
      </c>
      <c r="H133" s="6">
        <f>J130</f>
        <v>11.600000000000001</v>
      </c>
      <c r="J133" s="26"/>
    </row>
    <row r="134" spans="2:10" outlineLevel="1" x14ac:dyDescent="0.35">
      <c r="C134" s="25"/>
      <c r="G134" s="4" t="s">
        <v>148</v>
      </c>
      <c r="H134" s="6">
        <f>J139</f>
        <v>24.4</v>
      </c>
      <c r="J134" s="26"/>
    </row>
    <row r="135" spans="2:10" outlineLevel="1" x14ac:dyDescent="0.35">
      <c r="C135" s="25"/>
      <c r="G135" s="12" t="s">
        <v>124</v>
      </c>
      <c r="H135" s="56">
        <f>(H133-H134)/(H131-H132)</f>
        <v>-1</v>
      </c>
      <c r="J135" s="26"/>
    </row>
    <row r="136" spans="2:10" outlineLevel="1" x14ac:dyDescent="0.35">
      <c r="C136" s="25"/>
      <c r="G136" s="12" t="s">
        <v>87</v>
      </c>
      <c r="H136" s="56">
        <f>(H134-H132*H135)*EXP(-$D$84)</f>
        <v>49.875156119873004</v>
      </c>
      <c r="J136" s="26"/>
    </row>
    <row r="137" spans="2:10" outlineLevel="1" x14ac:dyDescent="0.35">
      <c r="C137" s="25"/>
      <c r="G137" s="12" t="s">
        <v>149</v>
      </c>
      <c r="H137" s="38">
        <f>F130*(1+$G$81)</f>
        <v>32</v>
      </c>
      <c r="I137" s="2" t="s">
        <v>273</v>
      </c>
      <c r="J137" s="26"/>
    </row>
    <row r="138" spans="2:10" outlineLevel="1" x14ac:dyDescent="0.35">
      <c r="C138" s="25"/>
      <c r="G138" s="12" t="s">
        <v>150</v>
      </c>
      <c r="H138" s="15">
        <f>H137*H135+H136</f>
        <v>17.875156119873004</v>
      </c>
      <c r="I138" s="4" t="s">
        <v>146</v>
      </c>
      <c r="J138" s="6">
        <f>H137*(1+$G$81)</f>
        <v>25.6</v>
      </c>
    </row>
    <row r="139" spans="2:10" outlineLevel="1" x14ac:dyDescent="0.35">
      <c r="C139" s="28"/>
      <c r="D139" s="29"/>
      <c r="E139" s="29"/>
      <c r="F139" s="29"/>
      <c r="G139" s="29"/>
      <c r="H139" s="29"/>
      <c r="I139" s="12" t="s">
        <v>148</v>
      </c>
      <c r="J139" s="15">
        <f>IF(J138&lt;$D$81,$D$81-J138,0)</f>
        <v>24.4</v>
      </c>
    </row>
    <row r="140" spans="2:10" x14ac:dyDescent="0.35">
      <c r="J140" s="24"/>
    </row>
    <row r="142" spans="2:10" x14ac:dyDescent="0.35">
      <c r="B142" s="16" t="s">
        <v>4</v>
      </c>
      <c r="C142" s="1" t="s">
        <v>33</v>
      </c>
    </row>
    <row r="143" spans="2:10" x14ac:dyDescent="0.35">
      <c r="C143" s="1" t="s">
        <v>34</v>
      </c>
    </row>
    <row r="144" spans="2:10" x14ac:dyDescent="0.35">
      <c r="C144" s="1" t="s">
        <v>35</v>
      </c>
    </row>
    <row r="145" spans="3:10" hidden="1" outlineLevel="1" x14ac:dyDescent="0.35"/>
    <row r="146" spans="3:10" hidden="1" outlineLevel="1" x14ac:dyDescent="0.35">
      <c r="C146" s="65" t="s">
        <v>106</v>
      </c>
      <c r="D146" s="65"/>
      <c r="E146" s="65" t="s">
        <v>107</v>
      </c>
      <c r="F146" s="65"/>
      <c r="G146" s="65" t="s">
        <v>121</v>
      </c>
      <c r="H146" s="65"/>
      <c r="I146" s="65" t="s">
        <v>122</v>
      </c>
      <c r="J146" s="65"/>
    </row>
    <row r="147" spans="3:10" hidden="1" outlineLevel="1" x14ac:dyDescent="0.35">
      <c r="C147" s="25"/>
      <c r="I147" s="2" t="s">
        <v>119</v>
      </c>
      <c r="J147" s="26"/>
    </row>
    <row r="148" spans="3:10" hidden="1" outlineLevel="1" x14ac:dyDescent="0.35">
      <c r="C148" s="25"/>
      <c r="G148" s="2" t="s">
        <v>111</v>
      </c>
      <c r="I148" s="4" t="s">
        <v>125</v>
      </c>
      <c r="J148" s="6">
        <f>J89</f>
        <v>86.399999999999991</v>
      </c>
    </row>
    <row r="149" spans="3:10" hidden="1" outlineLevel="1" x14ac:dyDescent="0.35">
      <c r="C149" s="25"/>
      <c r="G149" s="4" t="s">
        <v>89</v>
      </c>
      <c r="H149" s="6">
        <f>$D$81</f>
        <v>50</v>
      </c>
      <c r="I149" s="12" t="s">
        <v>156</v>
      </c>
      <c r="J149" s="15">
        <f>IF(J148&gt;$D$81,J148-$D$81,0)</f>
        <v>36.399999999999991</v>
      </c>
    </row>
    <row r="150" spans="3:10" hidden="1" outlineLevel="1" x14ac:dyDescent="0.35">
      <c r="C150" s="25"/>
      <c r="G150" s="4" t="s">
        <v>125</v>
      </c>
      <c r="H150" s="6">
        <f>J148</f>
        <v>86.399999999999991</v>
      </c>
      <c r="J150" s="26"/>
    </row>
    <row r="151" spans="3:10" hidden="1" outlineLevel="1" x14ac:dyDescent="0.35">
      <c r="C151" s="25"/>
      <c r="G151" s="4" t="s">
        <v>126</v>
      </c>
      <c r="H151" s="6">
        <f>J157</f>
        <v>57.6</v>
      </c>
      <c r="J151" s="26"/>
    </row>
    <row r="152" spans="3:10" hidden="1" outlineLevel="1" x14ac:dyDescent="0.35">
      <c r="C152" s="25"/>
      <c r="G152" s="4" t="s">
        <v>156</v>
      </c>
      <c r="H152" s="6">
        <f>J149</f>
        <v>36.399999999999991</v>
      </c>
      <c r="J152" s="26"/>
    </row>
    <row r="153" spans="3:10" hidden="1" outlineLevel="1" x14ac:dyDescent="0.35">
      <c r="C153" s="25"/>
      <c r="G153" s="4" t="s">
        <v>157</v>
      </c>
      <c r="H153" s="6">
        <f>J158</f>
        <v>7.6000000000000014</v>
      </c>
      <c r="J153" s="26"/>
    </row>
    <row r="154" spans="3:10" hidden="1" outlineLevel="1" x14ac:dyDescent="0.35">
      <c r="C154" s="25"/>
      <c r="G154" s="12" t="s">
        <v>124</v>
      </c>
      <c r="H154" s="56">
        <f>(H152-H153)/(H150-H151)</f>
        <v>1</v>
      </c>
      <c r="J154" s="26"/>
    </row>
    <row r="155" spans="3:10" hidden="1" outlineLevel="1" x14ac:dyDescent="0.35">
      <c r="C155" s="25"/>
      <c r="E155" s="2" t="s">
        <v>108</v>
      </c>
      <c r="G155" s="12" t="s">
        <v>87</v>
      </c>
      <c r="H155" s="56">
        <f>(H153-H151*H154)*EXP(-$D$84)</f>
        <v>-49.875156119873004</v>
      </c>
      <c r="J155" s="26"/>
    </row>
    <row r="156" spans="3:10" hidden="1" outlineLevel="1" x14ac:dyDescent="0.35">
      <c r="C156" s="25"/>
      <c r="E156" s="4" t="s">
        <v>89</v>
      </c>
      <c r="F156" s="6">
        <f>$D$81</f>
        <v>50</v>
      </c>
      <c r="G156" s="12" t="s">
        <v>130</v>
      </c>
      <c r="H156" s="38">
        <f>H97</f>
        <v>72</v>
      </c>
      <c r="I156" s="2" t="s">
        <v>120</v>
      </c>
      <c r="J156" s="26"/>
    </row>
    <row r="157" spans="3:10" hidden="1" outlineLevel="1" x14ac:dyDescent="0.35">
      <c r="C157" s="25"/>
      <c r="E157" s="4" t="s">
        <v>130</v>
      </c>
      <c r="F157" s="6">
        <f>H156</f>
        <v>72</v>
      </c>
      <c r="G157" s="12" t="s">
        <v>158</v>
      </c>
      <c r="H157" s="15">
        <f>H156*H154+H155</f>
        <v>22.124843880126996</v>
      </c>
      <c r="I157" s="4" t="s">
        <v>126</v>
      </c>
      <c r="J157" s="6">
        <f>J98</f>
        <v>57.6</v>
      </c>
    </row>
    <row r="158" spans="3:10" hidden="1" outlineLevel="1" x14ac:dyDescent="0.35">
      <c r="C158" s="25"/>
      <c r="E158" s="4" t="s">
        <v>135</v>
      </c>
      <c r="F158" s="6">
        <f>H169</f>
        <v>48</v>
      </c>
      <c r="I158" s="12" t="s">
        <v>157</v>
      </c>
      <c r="J158" s="15">
        <f>IF(J157&gt;$D$81,J157-$D$81,0)</f>
        <v>7.6000000000000014</v>
      </c>
    </row>
    <row r="159" spans="3:10" hidden="1" outlineLevel="1" x14ac:dyDescent="0.35">
      <c r="C159" s="25"/>
      <c r="E159" s="4" t="s">
        <v>158</v>
      </c>
      <c r="F159" s="6">
        <f>H157</f>
        <v>22.124843880126996</v>
      </c>
      <c r="J159" s="26"/>
    </row>
    <row r="160" spans="3:10" hidden="1" outlineLevel="1" x14ac:dyDescent="0.35">
      <c r="C160" s="25"/>
      <c r="E160" s="4" t="s">
        <v>161</v>
      </c>
      <c r="F160" s="6">
        <f>H170</f>
        <v>3.8379525395586036</v>
      </c>
      <c r="I160" s="2" t="s">
        <v>114</v>
      </c>
      <c r="J160" s="26"/>
    </row>
    <row r="161" spans="3:10" hidden="1" outlineLevel="1" x14ac:dyDescent="0.35">
      <c r="C161" s="25"/>
      <c r="E161" s="12" t="s">
        <v>124</v>
      </c>
      <c r="F161" s="56">
        <f>(F159-F160)/(F157-F158)</f>
        <v>0.76195380585701633</v>
      </c>
      <c r="G161" s="2" t="s">
        <v>112</v>
      </c>
      <c r="I161" s="4" t="s">
        <v>131</v>
      </c>
      <c r="J161" s="6">
        <f>J102</f>
        <v>57.599999999999994</v>
      </c>
    </row>
    <row r="162" spans="3:10" hidden="1" outlineLevel="1" x14ac:dyDescent="0.35">
      <c r="C162" s="25"/>
      <c r="E162" s="12" t="s">
        <v>87</v>
      </c>
      <c r="F162" s="56">
        <f>(F160-F158*F161)*EXP(-$D$84)</f>
        <v>-32.654092780497116</v>
      </c>
      <c r="G162" s="4" t="s">
        <v>89</v>
      </c>
      <c r="H162" s="6">
        <f>$D$81</f>
        <v>50</v>
      </c>
      <c r="I162" s="12" t="s">
        <v>156</v>
      </c>
      <c r="J162" s="15">
        <f>IF(J161&gt;$D$81,J161-$D$81,0)</f>
        <v>7.5999999999999943</v>
      </c>
    </row>
    <row r="163" spans="3:10" hidden="1" outlineLevel="1" x14ac:dyDescent="0.35">
      <c r="C163" s="25"/>
      <c r="E163" s="12" t="s">
        <v>151</v>
      </c>
      <c r="F163" s="38">
        <f>F104</f>
        <v>60</v>
      </c>
      <c r="G163" s="4" t="s">
        <v>131</v>
      </c>
      <c r="H163" s="6">
        <f>J161</f>
        <v>57.599999999999994</v>
      </c>
      <c r="J163" s="26"/>
    </row>
    <row r="164" spans="3:10" hidden="1" outlineLevel="1" x14ac:dyDescent="0.35">
      <c r="C164" s="25"/>
      <c r="E164" s="12" t="s">
        <v>168</v>
      </c>
      <c r="F164" s="15">
        <f>F163*F161+F162</f>
        <v>13.063135570923862</v>
      </c>
      <c r="G164" s="4" t="s">
        <v>132</v>
      </c>
      <c r="H164" s="6">
        <f>J170</f>
        <v>38.400000000000006</v>
      </c>
      <c r="J164" s="26"/>
    </row>
    <row r="165" spans="3:10" hidden="1" outlineLevel="1" x14ac:dyDescent="0.35">
      <c r="C165" s="25"/>
      <c r="G165" s="4" t="s">
        <v>159</v>
      </c>
      <c r="H165" s="6">
        <f>J162</f>
        <v>7.5999999999999943</v>
      </c>
      <c r="J165" s="26"/>
    </row>
    <row r="166" spans="3:10" hidden="1" outlineLevel="1" x14ac:dyDescent="0.35">
      <c r="C166" s="25"/>
      <c r="G166" s="4" t="s">
        <v>160</v>
      </c>
      <c r="H166" s="6">
        <f>J171</f>
        <v>0</v>
      </c>
      <c r="J166" s="26"/>
    </row>
    <row r="167" spans="3:10" hidden="1" outlineLevel="1" x14ac:dyDescent="0.35">
      <c r="C167" s="25"/>
      <c r="G167" s="12" t="s">
        <v>124</v>
      </c>
      <c r="H167" s="56">
        <f>(H165-H166)/(H163-H164)</f>
        <v>0.39583333333333326</v>
      </c>
      <c r="J167" s="26"/>
    </row>
    <row r="168" spans="3:10" hidden="1" outlineLevel="1" x14ac:dyDescent="0.35">
      <c r="C168" s="57" t="s">
        <v>170</v>
      </c>
      <c r="G168" s="12" t="s">
        <v>87</v>
      </c>
      <c r="H168" s="56">
        <f>(H166-H164*H167)*EXP(-$D$84)</f>
        <v>-15.162047460441393</v>
      </c>
      <c r="J168" s="26"/>
    </row>
    <row r="169" spans="3:10" hidden="1" outlineLevel="1" x14ac:dyDescent="0.35">
      <c r="C169" s="4" t="s">
        <v>89</v>
      </c>
      <c r="D169" s="6">
        <f>$D$81</f>
        <v>50</v>
      </c>
      <c r="G169" s="12" t="s">
        <v>135</v>
      </c>
      <c r="H169" s="38">
        <f>H110</f>
        <v>48</v>
      </c>
      <c r="I169" s="2" t="s">
        <v>113</v>
      </c>
      <c r="J169" s="26"/>
    </row>
    <row r="170" spans="3:10" hidden="1" outlineLevel="1" x14ac:dyDescent="0.35">
      <c r="C170" s="4" t="s">
        <v>151</v>
      </c>
      <c r="D170" s="6">
        <f>F163</f>
        <v>60</v>
      </c>
      <c r="G170" s="12" t="s">
        <v>161</v>
      </c>
      <c r="H170" s="15">
        <f>H169*H167+H168</f>
        <v>3.8379525395586036</v>
      </c>
      <c r="I170" s="4" t="s">
        <v>132</v>
      </c>
      <c r="J170" s="6">
        <f>J111</f>
        <v>38.400000000000006</v>
      </c>
    </row>
    <row r="171" spans="3:10" hidden="1" outlineLevel="1" x14ac:dyDescent="0.35">
      <c r="C171" s="4" t="s">
        <v>153</v>
      </c>
      <c r="D171" s="6">
        <f>F190</f>
        <v>40</v>
      </c>
      <c r="I171" s="12" t="s">
        <v>160</v>
      </c>
      <c r="J171" s="15">
        <f>IF(J170&gt;$D$81,J170-$D$81,0)</f>
        <v>0</v>
      </c>
    </row>
    <row r="172" spans="3:10" hidden="1" outlineLevel="1" x14ac:dyDescent="0.35">
      <c r="C172" s="4" t="s">
        <v>168</v>
      </c>
      <c r="D172" s="6">
        <f>F164</f>
        <v>13.063135570923862</v>
      </c>
      <c r="J172" s="26"/>
    </row>
    <row r="173" spans="3:10" hidden="1" outlineLevel="1" x14ac:dyDescent="0.35">
      <c r="C173" s="4" t="s">
        <v>169</v>
      </c>
      <c r="D173" s="6">
        <f>F191</f>
        <v>1.9381420652505721</v>
      </c>
      <c r="J173" s="26"/>
    </row>
    <row r="174" spans="3:10" hidden="1" outlineLevel="1" x14ac:dyDescent="0.35">
      <c r="C174" s="12" t="s">
        <v>124</v>
      </c>
      <c r="D174" s="56">
        <f>(D172-D173)/(D170-D171)</f>
        <v>0.55624967528366454</v>
      </c>
      <c r="I174" s="2" t="s">
        <v>115</v>
      </c>
      <c r="J174" s="26"/>
    </row>
    <row r="175" spans="3:10" hidden="1" outlineLevel="1" x14ac:dyDescent="0.35">
      <c r="C175" s="12" t="s">
        <v>87</v>
      </c>
      <c r="D175" s="56">
        <f>(D173-D171*D174)*EXP(-$D$84)</f>
        <v>-20.26112875538384</v>
      </c>
      <c r="G175" s="2" t="s">
        <v>109</v>
      </c>
      <c r="I175" s="4" t="s">
        <v>139</v>
      </c>
      <c r="J175" s="6">
        <f>J116</f>
        <v>57.599999999999994</v>
      </c>
    </row>
    <row r="176" spans="3:10" hidden="1" outlineLevel="1" x14ac:dyDescent="0.35">
      <c r="C176" s="12" t="s">
        <v>91</v>
      </c>
      <c r="D176" s="38">
        <f>D117</f>
        <v>50</v>
      </c>
      <c r="G176" s="4" t="s">
        <v>89</v>
      </c>
      <c r="H176" s="6">
        <f>$D$81</f>
        <v>50</v>
      </c>
      <c r="I176" s="12" t="s">
        <v>162</v>
      </c>
      <c r="J176" s="15">
        <f>IF(J175&gt;$D$81,J175-$D$81,0)</f>
        <v>7.5999999999999943</v>
      </c>
    </row>
    <row r="177" spans="3:10" hidden="1" outlineLevel="1" x14ac:dyDescent="0.35">
      <c r="C177" s="12" t="s">
        <v>16</v>
      </c>
      <c r="D177" s="15">
        <f>D176*D174+D175</f>
        <v>7.551355008799387</v>
      </c>
      <c r="G177" s="4" t="s">
        <v>139</v>
      </c>
      <c r="H177" s="6">
        <f>J175</f>
        <v>57.599999999999994</v>
      </c>
      <c r="J177" s="26"/>
    </row>
    <row r="178" spans="3:10" hidden="1" outlineLevel="1" x14ac:dyDescent="0.35">
      <c r="C178" s="25"/>
      <c r="G178" s="4" t="s">
        <v>140</v>
      </c>
      <c r="H178" s="6">
        <f>J184</f>
        <v>38.400000000000006</v>
      </c>
      <c r="J178" s="26"/>
    </row>
    <row r="179" spans="3:10" hidden="1" outlineLevel="1" x14ac:dyDescent="0.35">
      <c r="C179" s="25"/>
      <c r="G179" s="4" t="s">
        <v>162</v>
      </c>
      <c r="H179" s="6">
        <f>J176</f>
        <v>7.5999999999999943</v>
      </c>
      <c r="J179" s="26"/>
    </row>
    <row r="180" spans="3:10" hidden="1" outlineLevel="1" x14ac:dyDescent="0.35">
      <c r="C180" s="25"/>
      <c r="G180" s="4" t="s">
        <v>163</v>
      </c>
      <c r="H180" s="6">
        <f>J185</f>
        <v>0</v>
      </c>
      <c r="J180" s="26"/>
    </row>
    <row r="181" spans="3:10" hidden="1" outlineLevel="1" x14ac:dyDescent="0.35">
      <c r="C181" s="25"/>
      <c r="G181" s="12" t="s">
        <v>124</v>
      </c>
      <c r="H181" s="56">
        <f>(H179-H180)/(H177-H178)</f>
        <v>0.39583333333333326</v>
      </c>
      <c r="J181" s="26"/>
    </row>
    <row r="182" spans="3:10" hidden="1" outlineLevel="1" x14ac:dyDescent="0.35">
      <c r="C182" s="25"/>
      <c r="E182" s="2" t="s">
        <v>98</v>
      </c>
      <c r="G182" s="12" t="s">
        <v>87</v>
      </c>
      <c r="H182" s="56">
        <f>(H180-H178*H181)*EXP(-$D$84)</f>
        <v>-15.162047460441393</v>
      </c>
      <c r="J182" s="26"/>
    </row>
    <row r="183" spans="3:10" hidden="1" outlineLevel="1" x14ac:dyDescent="0.35">
      <c r="C183" s="25"/>
      <c r="E183" s="4" t="s">
        <v>89</v>
      </c>
      <c r="F183" s="6">
        <f>$D$81</f>
        <v>50</v>
      </c>
      <c r="G183" s="12" t="s">
        <v>143</v>
      </c>
      <c r="H183" s="38">
        <f>H124</f>
        <v>48</v>
      </c>
      <c r="I183" s="2" t="s">
        <v>116</v>
      </c>
      <c r="J183" s="26"/>
    </row>
    <row r="184" spans="3:10" hidden="1" outlineLevel="1" x14ac:dyDescent="0.35">
      <c r="C184" s="25"/>
      <c r="E184" s="4" t="s">
        <v>143</v>
      </c>
      <c r="F184" s="6">
        <f>H183</f>
        <v>48</v>
      </c>
      <c r="G184" s="12" t="s">
        <v>164</v>
      </c>
      <c r="H184" s="15">
        <f>H183*H181+H182</f>
        <v>3.8379525395586036</v>
      </c>
      <c r="I184" s="4" t="s">
        <v>140</v>
      </c>
      <c r="J184" s="6">
        <f>J125</f>
        <v>38.400000000000006</v>
      </c>
    </row>
    <row r="185" spans="3:10" hidden="1" outlineLevel="1" x14ac:dyDescent="0.35">
      <c r="C185" s="25"/>
      <c r="E185" s="4" t="s">
        <v>149</v>
      </c>
      <c r="F185" s="6">
        <f>H196</f>
        <v>32</v>
      </c>
      <c r="I185" s="12" t="s">
        <v>163</v>
      </c>
      <c r="J185" s="15">
        <f>IF(J184&gt;$D$81,J184-$D$81,0)</f>
        <v>0</v>
      </c>
    </row>
    <row r="186" spans="3:10" hidden="1" outlineLevel="1" x14ac:dyDescent="0.35">
      <c r="C186" s="25"/>
      <c r="E186" s="4" t="s">
        <v>164</v>
      </c>
      <c r="F186" s="6">
        <f>H184</f>
        <v>3.8379525395586036</v>
      </c>
      <c r="J186" s="26"/>
    </row>
    <row r="187" spans="3:10" hidden="1" outlineLevel="1" x14ac:dyDescent="0.35">
      <c r="C187" s="25"/>
      <c r="E187" s="4" t="s">
        <v>167</v>
      </c>
      <c r="F187" s="6">
        <f>H197</f>
        <v>0</v>
      </c>
      <c r="I187" s="2" t="s">
        <v>117</v>
      </c>
      <c r="J187" s="26"/>
    </row>
    <row r="188" spans="3:10" hidden="1" outlineLevel="1" x14ac:dyDescent="0.35">
      <c r="C188" s="25"/>
      <c r="E188" s="12" t="s">
        <v>124</v>
      </c>
      <c r="F188" s="56">
        <f>(F186-F187)/(F184-F185)</f>
        <v>0.23987203372241273</v>
      </c>
      <c r="G188" s="2" t="s">
        <v>110</v>
      </c>
      <c r="I188" s="4" t="s">
        <v>145</v>
      </c>
      <c r="J188" s="6">
        <f>J129</f>
        <v>38.4</v>
      </c>
    </row>
    <row r="189" spans="3:10" hidden="1" outlineLevel="1" x14ac:dyDescent="0.35">
      <c r="C189" s="25"/>
      <c r="E189" s="12" t="s">
        <v>87</v>
      </c>
      <c r="F189" s="56">
        <f>(F187-F185*F188)*EXP(-$D$84)</f>
        <v>-7.6567392836459369</v>
      </c>
      <c r="G189" s="4" t="s">
        <v>89</v>
      </c>
      <c r="H189" s="6">
        <f>$D$81</f>
        <v>50</v>
      </c>
      <c r="I189" s="12" t="s">
        <v>165</v>
      </c>
      <c r="J189" s="15">
        <f>IF(J188&gt;$D$81,J188-$D$81,0)</f>
        <v>0</v>
      </c>
    </row>
    <row r="190" spans="3:10" hidden="1" outlineLevel="1" x14ac:dyDescent="0.35">
      <c r="C190" s="25"/>
      <c r="E190" s="12" t="s">
        <v>153</v>
      </c>
      <c r="F190" s="38">
        <f>F130</f>
        <v>40</v>
      </c>
      <c r="G190" s="4" t="s">
        <v>145</v>
      </c>
      <c r="H190" s="6">
        <f>J188</f>
        <v>38.4</v>
      </c>
      <c r="J190" s="26"/>
    </row>
    <row r="191" spans="3:10" hidden="1" outlineLevel="1" x14ac:dyDescent="0.35">
      <c r="C191" s="25"/>
      <c r="E191" s="12" t="s">
        <v>169</v>
      </c>
      <c r="F191" s="15">
        <f>F190*F188+F189</f>
        <v>1.9381420652505721</v>
      </c>
      <c r="G191" s="4" t="s">
        <v>146</v>
      </c>
      <c r="H191" s="6">
        <f>J197</f>
        <v>25.6</v>
      </c>
      <c r="J191" s="26"/>
    </row>
    <row r="192" spans="3:10" hidden="1" outlineLevel="1" x14ac:dyDescent="0.35">
      <c r="C192" s="25"/>
      <c r="G192" s="4" t="s">
        <v>165</v>
      </c>
      <c r="H192" s="6">
        <f>J189</f>
        <v>0</v>
      </c>
      <c r="J192" s="26"/>
    </row>
    <row r="193" spans="2:10" hidden="1" outlineLevel="1" x14ac:dyDescent="0.35">
      <c r="C193" s="25"/>
      <c r="G193" s="4" t="s">
        <v>166</v>
      </c>
      <c r="H193" s="6">
        <f>J198</f>
        <v>0</v>
      </c>
      <c r="J193" s="26"/>
    </row>
    <row r="194" spans="2:10" hidden="1" outlineLevel="1" x14ac:dyDescent="0.35">
      <c r="C194" s="25"/>
      <c r="G194" s="12" t="s">
        <v>124</v>
      </c>
      <c r="H194" s="56">
        <f>(H192-H193)/(H190-H191)</f>
        <v>0</v>
      </c>
      <c r="J194" s="26"/>
    </row>
    <row r="195" spans="2:10" hidden="1" outlineLevel="1" x14ac:dyDescent="0.35">
      <c r="C195" s="25"/>
      <c r="G195" s="12" t="s">
        <v>87</v>
      </c>
      <c r="H195" s="56">
        <f>(H193-H191*H194)*EXP(-$D$84)</f>
        <v>0</v>
      </c>
      <c r="J195" s="26"/>
    </row>
    <row r="196" spans="2:10" hidden="1" outlineLevel="1" x14ac:dyDescent="0.35">
      <c r="C196" s="25"/>
      <c r="G196" s="12" t="s">
        <v>149</v>
      </c>
      <c r="H196" s="38">
        <f>H137</f>
        <v>32</v>
      </c>
      <c r="I196" s="2" t="s">
        <v>118</v>
      </c>
      <c r="J196" s="26"/>
    </row>
    <row r="197" spans="2:10" hidden="1" outlineLevel="1" x14ac:dyDescent="0.35">
      <c r="C197" s="25"/>
      <c r="G197" s="12" t="s">
        <v>167</v>
      </c>
      <c r="H197" s="15">
        <f>H196*H194+H195</f>
        <v>0</v>
      </c>
      <c r="I197" s="4" t="s">
        <v>146</v>
      </c>
      <c r="J197" s="6">
        <f>J138</f>
        <v>25.6</v>
      </c>
    </row>
    <row r="198" spans="2:10" hidden="1" outlineLevel="1" x14ac:dyDescent="0.35">
      <c r="C198" s="28"/>
      <c r="D198" s="29"/>
      <c r="E198" s="29"/>
      <c r="F198" s="29"/>
      <c r="G198" s="29"/>
      <c r="H198" s="29"/>
      <c r="I198" s="12" t="s">
        <v>166</v>
      </c>
      <c r="J198" s="15">
        <f>IF(J197&gt;$D$81,J197-$D$81,0)</f>
        <v>0</v>
      </c>
    </row>
    <row r="199" spans="2:10" collapsed="1" x14ac:dyDescent="0.35"/>
    <row r="201" spans="2:10" x14ac:dyDescent="0.35">
      <c r="B201" s="16" t="s">
        <v>9</v>
      </c>
      <c r="C201" s="1" t="s">
        <v>36</v>
      </c>
    </row>
    <row r="202" spans="2:10" x14ac:dyDescent="0.35">
      <c r="C202" s="1" t="s">
        <v>37</v>
      </c>
    </row>
    <row r="203" spans="2:10" x14ac:dyDescent="0.35">
      <c r="C203" s="1" t="s">
        <v>38</v>
      </c>
    </row>
    <row r="204" spans="2:10" x14ac:dyDescent="0.35">
      <c r="C204" s="1" t="s">
        <v>39</v>
      </c>
    </row>
    <row r="205" spans="2:10" x14ac:dyDescent="0.35">
      <c r="C205" s="1" t="s">
        <v>35</v>
      </c>
    </row>
    <row r="206" spans="2:10" hidden="1" outlineLevel="1" x14ac:dyDescent="0.35"/>
    <row r="207" spans="2:10" hidden="1" outlineLevel="1" x14ac:dyDescent="0.35">
      <c r="C207" s="4" t="s">
        <v>91</v>
      </c>
      <c r="D207" s="6">
        <v>4.2</v>
      </c>
    </row>
    <row r="208" spans="2:10" hidden="1" outlineLevel="1" x14ac:dyDescent="0.35">
      <c r="C208" s="4" t="s">
        <v>89</v>
      </c>
      <c r="D208" s="6">
        <v>4</v>
      </c>
    </row>
    <row r="209" spans="3:12" hidden="1" outlineLevel="1" x14ac:dyDescent="0.35">
      <c r="C209" s="4" t="s">
        <v>99</v>
      </c>
      <c r="D209" s="5">
        <v>4</v>
      </c>
    </row>
    <row r="210" spans="3:12" hidden="1" outlineLevel="1" x14ac:dyDescent="0.35">
      <c r="C210" s="4" t="s">
        <v>1</v>
      </c>
      <c r="D210" s="20">
        <f>D209/12</f>
        <v>0.33333333333333331</v>
      </c>
    </row>
    <row r="211" spans="3:12" hidden="1" outlineLevel="1" x14ac:dyDescent="0.35">
      <c r="C211" s="4" t="s">
        <v>172</v>
      </c>
      <c r="D211" s="6">
        <v>0.3</v>
      </c>
      <c r="E211" s="8" t="s">
        <v>174</v>
      </c>
      <c r="F211" s="1" t="s">
        <v>173</v>
      </c>
    </row>
    <row r="212" spans="3:12" hidden="1" outlineLevel="1" x14ac:dyDescent="0.35">
      <c r="C212" s="4" t="s">
        <v>137</v>
      </c>
      <c r="D212" s="10">
        <v>2.5000000000000001E-2</v>
      </c>
    </row>
    <row r="213" spans="3:12" hidden="1" outlineLevel="1" x14ac:dyDescent="0.35">
      <c r="C213" s="4" t="s">
        <v>171</v>
      </c>
      <c r="D213" s="10">
        <v>0.3</v>
      </c>
    </row>
    <row r="214" spans="3:12" hidden="1" outlineLevel="1" x14ac:dyDescent="0.35"/>
    <row r="215" spans="3:12" hidden="1" outlineLevel="1" x14ac:dyDescent="0.35"/>
    <row r="216" spans="3:12" hidden="1" outlineLevel="1" x14ac:dyDescent="0.35">
      <c r="C216" s="65" t="s">
        <v>106</v>
      </c>
      <c r="D216" s="65"/>
      <c r="E216" s="65" t="s">
        <v>121</v>
      </c>
      <c r="F216" s="65"/>
      <c r="G216" s="65" t="s">
        <v>175</v>
      </c>
      <c r="H216" s="65"/>
    </row>
    <row r="217" spans="3:12" hidden="1" outlineLevel="1" x14ac:dyDescent="0.35">
      <c r="C217" s="25"/>
      <c r="G217" s="2" t="s">
        <v>111</v>
      </c>
      <c r="H217" s="26"/>
    </row>
    <row r="218" spans="3:12" hidden="1" outlineLevel="1" x14ac:dyDescent="0.35">
      <c r="C218" s="25"/>
      <c r="G218" s="4" t="s">
        <v>130</v>
      </c>
      <c r="H218" s="6">
        <f>F230*EXP($D$213*SQRT(2/12))</f>
        <v>5.365735717937862</v>
      </c>
    </row>
    <row r="219" spans="3:12" hidden="1" outlineLevel="1" x14ac:dyDescent="0.35">
      <c r="C219" s="25"/>
      <c r="G219" s="4" t="s">
        <v>176</v>
      </c>
      <c r="H219" s="6">
        <f>H218-$D$211</f>
        <v>5.0657357179378621</v>
      </c>
    </row>
    <row r="220" spans="3:12" hidden="1" outlineLevel="1" x14ac:dyDescent="0.35">
      <c r="C220" s="25"/>
      <c r="G220" s="58" t="s">
        <v>203</v>
      </c>
      <c r="H220" s="59"/>
      <c r="L220" s="24"/>
    </row>
    <row r="221" spans="3:12" hidden="1" outlineLevel="1" x14ac:dyDescent="0.35">
      <c r="C221" s="25"/>
      <c r="G221" s="12" t="s">
        <v>288</v>
      </c>
      <c r="H221" s="15">
        <f>IF(H218&gt;$D$208,H218-$D$208,0)</f>
        <v>1.365735717937862</v>
      </c>
    </row>
    <row r="222" spans="3:12" hidden="1" outlineLevel="1" x14ac:dyDescent="0.35">
      <c r="C222" s="25"/>
      <c r="E222" s="2" t="s">
        <v>108</v>
      </c>
      <c r="G222" s="58" t="s">
        <v>269</v>
      </c>
      <c r="H222" s="59"/>
    </row>
    <row r="223" spans="3:12" hidden="1" outlineLevel="1" x14ac:dyDescent="0.35">
      <c r="C223" s="25"/>
      <c r="E223" s="4" t="s">
        <v>89</v>
      </c>
      <c r="F223" s="6">
        <f>$D$208</f>
        <v>4</v>
      </c>
      <c r="G223" s="12" t="s">
        <v>158</v>
      </c>
      <c r="H223" s="38">
        <f>IF(H219&gt;$D$208,H219-$D$208,0)</f>
        <v>1.0657357179378621</v>
      </c>
    </row>
    <row r="224" spans="3:12" hidden="1" outlineLevel="1" x14ac:dyDescent="0.35">
      <c r="C224" s="25"/>
      <c r="E224" s="4" t="s">
        <v>130</v>
      </c>
      <c r="F224" s="6">
        <f>H218</f>
        <v>5.365735717937862</v>
      </c>
      <c r="G224" s="69" t="s">
        <v>289</v>
      </c>
      <c r="H224" s="70"/>
      <c r="L224" s="24"/>
    </row>
    <row r="225" spans="3:12" hidden="1" outlineLevel="1" x14ac:dyDescent="0.35">
      <c r="C225" s="25"/>
      <c r="E225" s="4" t="s">
        <v>135</v>
      </c>
      <c r="F225" s="6">
        <f>H229</f>
        <v>4.2</v>
      </c>
      <c r="G225" s="71"/>
      <c r="H225" s="72"/>
    </row>
    <row r="226" spans="3:12" hidden="1" outlineLevel="1" x14ac:dyDescent="0.35">
      <c r="C226" s="25"/>
      <c r="E226" s="4" t="s">
        <v>288</v>
      </c>
      <c r="F226" s="6">
        <f>H221</f>
        <v>1.365735717937862</v>
      </c>
      <c r="H226" s="26"/>
    </row>
    <row r="227" spans="3:12" hidden="1" outlineLevel="1" x14ac:dyDescent="0.35">
      <c r="C227" s="25"/>
      <c r="E227" s="4" t="s">
        <v>285</v>
      </c>
      <c r="F227" s="6">
        <f>H232</f>
        <v>0.20000000000000018</v>
      </c>
      <c r="H227" s="26"/>
    </row>
    <row r="228" spans="3:12" hidden="1" outlineLevel="1" x14ac:dyDescent="0.35">
      <c r="C228" s="25"/>
      <c r="E228" s="12" t="s">
        <v>124</v>
      </c>
      <c r="F228" s="56">
        <f>(F226-F227)/(F224-F225)</f>
        <v>1</v>
      </c>
      <c r="G228" s="2" t="s">
        <v>112</v>
      </c>
      <c r="H228" s="26"/>
      <c r="L228" s="24"/>
    </row>
    <row r="229" spans="3:12" hidden="1" outlineLevel="1" x14ac:dyDescent="0.35">
      <c r="C229" s="25"/>
      <c r="E229" s="12" t="s">
        <v>87</v>
      </c>
      <c r="F229" s="56">
        <f>(F227-F225*F228)*EXP(-$D$212*2/12)</f>
        <v>-3.9833680073804398</v>
      </c>
      <c r="G229" s="4" t="s">
        <v>135</v>
      </c>
      <c r="H229" s="6">
        <f>F230*EXP(-$D$213*SQRT(2/12))</f>
        <v>4.2</v>
      </c>
    </row>
    <row r="230" spans="3:12" hidden="1" outlineLevel="1" x14ac:dyDescent="0.35">
      <c r="C230" s="25"/>
      <c r="E230" s="12" t="s">
        <v>151</v>
      </c>
      <c r="F230" s="38">
        <f>$D$241*EXP($D$213*SQRT(2/12))</f>
        <v>4.7472191876233207</v>
      </c>
      <c r="G230" s="4" t="s">
        <v>177</v>
      </c>
      <c r="H230" s="6">
        <f>H229-$D$211</f>
        <v>3.9000000000000004</v>
      </c>
    </row>
    <row r="231" spans="3:12" hidden="1" outlineLevel="1" x14ac:dyDescent="0.35">
      <c r="C231" s="25"/>
      <c r="E231" s="12" t="s">
        <v>181</v>
      </c>
      <c r="F231" s="15">
        <f>F230*F228+F229</f>
        <v>0.7638511802428809</v>
      </c>
      <c r="G231" s="58" t="s">
        <v>203</v>
      </c>
      <c r="H231" s="59"/>
    </row>
    <row r="232" spans="3:12" hidden="1" outlineLevel="1" x14ac:dyDescent="0.35">
      <c r="C232" s="25"/>
      <c r="G232" s="12" t="s">
        <v>285</v>
      </c>
      <c r="H232" s="15">
        <f>IF(H229&gt;$D$208,H229-$D$208,0)</f>
        <v>0.20000000000000018</v>
      </c>
    </row>
    <row r="233" spans="3:12" hidden="1" outlineLevel="1" x14ac:dyDescent="0.35">
      <c r="C233" s="57" t="s">
        <v>231</v>
      </c>
      <c r="G233" s="58" t="s">
        <v>269</v>
      </c>
      <c r="H233" s="59"/>
    </row>
    <row r="234" spans="3:12" hidden="1" outlineLevel="1" x14ac:dyDescent="0.35">
      <c r="C234" s="4" t="s">
        <v>89</v>
      </c>
      <c r="D234" s="6">
        <f>$D$208</f>
        <v>4</v>
      </c>
      <c r="G234" s="12" t="s">
        <v>161</v>
      </c>
      <c r="H234" s="38">
        <f>IF(H230&gt;$D$208,H230-$D$208,0)</f>
        <v>0</v>
      </c>
    </row>
    <row r="235" spans="3:12" hidden="1" outlineLevel="1" x14ac:dyDescent="0.35">
      <c r="C235" s="4" t="s">
        <v>151</v>
      </c>
      <c r="D235" s="6">
        <f>F230</f>
        <v>4.7472191876233207</v>
      </c>
      <c r="G235" s="69" t="s">
        <v>290</v>
      </c>
      <c r="H235" s="70"/>
    </row>
    <row r="236" spans="3:12" hidden="1" outlineLevel="1" x14ac:dyDescent="0.35">
      <c r="C236" s="4" t="s">
        <v>153</v>
      </c>
      <c r="D236" s="6">
        <f>F252</f>
        <v>3.7158596017622285</v>
      </c>
      <c r="G236" s="71"/>
      <c r="H236" s="72"/>
    </row>
    <row r="237" spans="3:12" hidden="1" outlineLevel="1" x14ac:dyDescent="0.35">
      <c r="C237" s="4" t="s">
        <v>181</v>
      </c>
      <c r="D237" s="6">
        <f>F231</f>
        <v>0.7638511802428809</v>
      </c>
      <c r="H237" s="26"/>
    </row>
    <row r="238" spans="3:12" hidden="1" outlineLevel="1" x14ac:dyDescent="0.35">
      <c r="C238" s="4" t="s">
        <v>180</v>
      </c>
      <c r="D238" s="6">
        <f>F253</f>
        <v>9.6880068301031352E-2</v>
      </c>
      <c r="H238" s="26"/>
    </row>
    <row r="239" spans="3:12" hidden="1" outlineLevel="1" x14ac:dyDescent="0.35">
      <c r="C239" s="12" t="s">
        <v>124</v>
      </c>
      <c r="D239" s="56">
        <f>(D237-D238)/(D235-D236)</f>
        <v>0.64669114544079098</v>
      </c>
      <c r="G239" s="2" t="s">
        <v>109</v>
      </c>
      <c r="H239" s="26"/>
    </row>
    <row r="240" spans="3:12" hidden="1" outlineLevel="1" x14ac:dyDescent="0.35">
      <c r="C240" s="12" t="s">
        <v>87</v>
      </c>
      <c r="D240" s="56">
        <f>(D238-D236*D239)*EXP(-$D$212*2/12)</f>
        <v>-2.2965445352968263</v>
      </c>
      <c r="G240" s="4" t="s">
        <v>143</v>
      </c>
      <c r="H240" s="6">
        <f>F252*EXP($D$213*SQRT(2/12))</f>
        <v>4.2</v>
      </c>
    </row>
    <row r="241" spans="3:8" hidden="1" outlineLevel="1" x14ac:dyDescent="0.35">
      <c r="C241" s="12" t="s">
        <v>91</v>
      </c>
      <c r="D241" s="38">
        <f>D207</f>
        <v>4.2</v>
      </c>
      <c r="G241" s="4" t="s">
        <v>179</v>
      </c>
      <c r="H241" s="6">
        <f>H240-$D$211</f>
        <v>3.9000000000000004</v>
      </c>
    </row>
    <row r="242" spans="3:8" hidden="1" outlineLevel="1" x14ac:dyDescent="0.35">
      <c r="C242" s="12" t="s">
        <v>182</v>
      </c>
      <c r="D242" s="15">
        <f>D241*D239+D240</f>
        <v>0.41955827555449599</v>
      </c>
      <c r="G242" s="58" t="s">
        <v>203</v>
      </c>
      <c r="H242" s="59"/>
    </row>
    <row r="243" spans="3:8" hidden="1" outlineLevel="1" x14ac:dyDescent="0.35">
      <c r="C243" s="25"/>
      <c r="G243" s="12" t="s">
        <v>287</v>
      </c>
      <c r="H243" s="15">
        <f>IF(H240&gt;$D$208,H240-$D$208,0)</f>
        <v>0.20000000000000018</v>
      </c>
    </row>
    <row r="244" spans="3:8" hidden="1" outlineLevel="1" x14ac:dyDescent="0.35">
      <c r="C244" s="25"/>
      <c r="E244" s="2" t="s">
        <v>98</v>
      </c>
      <c r="G244" s="58" t="s">
        <v>269</v>
      </c>
      <c r="H244" s="59"/>
    </row>
    <row r="245" spans="3:8" hidden="1" outlineLevel="1" x14ac:dyDescent="0.35">
      <c r="C245" s="25"/>
      <c r="E245" s="4" t="s">
        <v>89</v>
      </c>
      <c r="F245" s="6">
        <f>$D$208</f>
        <v>4</v>
      </c>
      <c r="G245" s="12" t="s">
        <v>164</v>
      </c>
      <c r="H245" s="38">
        <f>IF(H241&gt;$D$208,H241-$D$208,0)</f>
        <v>0</v>
      </c>
    </row>
    <row r="246" spans="3:8" hidden="1" outlineLevel="1" x14ac:dyDescent="0.35">
      <c r="C246" s="25"/>
      <c r="E246" s="4" t="s">
        <v>143</v>
      </c>
      <c r="F246" s="6">
        <f>H240</f>
        <v>4.2</v>
      </c>
      <c r="G246" s="69" t="s">
        <v>290</v>
      </c>
      <c r="H246" s="70"/>
    </row>
    <row r="247" spans="3:8" hidden="1" outlineLevel="1" x14ac:dyDescent="0.35">
      <c r="C247" s="25"/>
      <c r="E247" s="4" t="s">
        <v>149</v>
      </c>
      <c r="F247" s="6">
        <f>H251</f>
        <v>3.2875268047639397</v>
      </c>
      <c r="G247" s="71"/>
      <c r="H247" s="72"/>
    </row>
    <row r="248" spans="3:8" hidden="1" outlineLevel="1" x14ac:dyDescent="0.35">
      <c r="C248" s="25"/>
      <c r="E248" s="4" t="s">
        <v>287</v>
      </c>
      <c r="F248" s="6">
        <f>H243</f>
        <v>0.20000000000000018</v>
      </c>
      <c r="H248" s="26"/>
    </row>
    <row r="249" spans="3:8" hidden="1" outlineLevel="1" x14ac:dyDescent="0.35">
      <c r="C249" s="25"/>
      <c r="E249" s="4" t="s">
        <v>286</v>
      </c>
      <c r="F249" s="6">
        <f>H254</f>
        <v>0</v>
      </c>
      <c r="H249" s="26"/>
    </row>
    <row r="250" spans="3:8" hidden="1" outlineLevel="1" x14ac:dyDescent="0.35">
      <c r="C250" s="25"/>
      <c r="E250" s="12" t="s">
        <v>124</v>
      </c>
      <c r="F250" s="56">
        <f>(F248-F249)/(F246-F247)</f>
        <v>0.21918452075543915</v>
      </c>
      <c r="G250" s="2" t="s">
        <v>110</v>
      </c>
      <c r="H250" s="26"/>
    </row>
    <row r="251" spans="3:8" hidden="1" outlineLevel="1" x14ac:dyDescent="0.35">
      <c r="C251" s="25"/>
      <c r="E251" s="12" t="s">
        <v>87</v>
      </c>
      <c r="F251" s="56">
        <f>(F249-F247*F250)*EXP(-$D$212*2/12)</f>
        <v>-0.71757883770571973</v>
      </c>
      <c r="G251" s="4" t="s">
        <v>149</v>
      </c>
      <c r="H251" s="6">
        <f>F252*EXP(-$D$213*SQRT(2/12))</f>
        <v>3.2875268047639397</v>
      </c>
    </row>
    <row r="252" spans="3:8" hidden="1" outlineLevel="1" x14ac:dyDescent="0.35">
      <c r="C252" s="25"/>
      <c r="E252" s="12" t="s">
        <v>153</v>
      </c>
      <c r="F252" s="38">
        <f>$D$241*EXP(-$D$213*SQRT(2/12))</f>
        <v>3.7158596017622285</v>
      </c>
      <c r="G252" s="4" t="s">
        <v>178</v>
      </c>
      <c r="H252" s="6">
        <f>H251-$D$211</f>
        <v>2.9875268047639398</v>
      </c>
    </row>
    <row r="253" spans="3:8" hidden="1" outlineLevel="1" x14ac:dyDescent="0.35">
      <c r="C253" s="25"/>
      <c r="E253" s="12" t="s">
        <v>180</v>
      </c>
      <c r="F253" s="15">
        <f>F252*F250+F251</f>
        <v>9.6880068301031352E-2</v>
      </c>
      <c r="G253" s="58" t="s">
        <v>203</v>
      </c>
      <c r="H253" s="59"/>
    </row>
    <row r="254" spans="3:8" hidden="1" outlineLevel="1" x14ac:dyDescent="0.35">
      <c r="C254" s="25"/>
      <c r="G254" s="12" t="s">
        <v>286</v>
      </c>
      <c r="H254" s="15">
        <f>IF(H251&gt;$D$208,H251-$D$208,0)</f>
        <v>0</v>
      </c>
    </row>
    <row r="255" spans="3:8" hidden="1" outlineLevel="1" x14ac:dyDescent="0.35">
      <c r="C255" s="25"/>
      <c r="G255" s="58" t="s">
        <v>269</v>
      </c>
      <c r="H255" s="59"/>
    </row>
    <row r="256" spans="3:8" hidden="1" outlineLevel="1" x14ac:dyDescent="0.35">
      <c r="C256" s="25"/>
      <c r="G256" s="12" t="s">
        <v>167</v>
      </c>
      <c r="H256" s="15">
        <f>IF(H252&gt;$D$208,H252-$D$208,0)</f>
        <v>0</v>
      </c>
    </row>
    <row r="257" spans="2:8" hidden="1" outlineLevel="1" x14ac:dyDescent="0.35">
      <c r="C257" s="25"/>
      <c r="G257" s="69" t="s">
        <v>275</v>
      </c>
      <c r="H257" s="70"/>
    </row>
    <row r="258" spans="2:8" hidden="1" outlineLevel="1" x14ac:dyDescent="0.35">
      <c r="C258" s="28"/>
      <c r="D258" s="29"/>
      <c r="E258" s="29"/>
      <c r="F258" s="29"/>
      <c r="G258" s="71"/>
      <c r="H258" s="72"/>
    </row>
    <row r="259" spans="2:8" collapsed="1" x14ac:dyDescent="0.35"/>
    <row r="261" spans="2:8" x14ac:dyDescent="0.35">
      <c r="B261" s="16" t="s">
        <v>10</v>
      </c>
      <c r="C261" s="1" t="s">
        <v>40</v>
      </c>
    </row>
    <row r="262" spans="2:8" x14ac:dyDescent="0.35">
      <c r="C262" s="1" t="s">
        <v>41</v>
      </c>
    </row>
    <row r="263" spans="2:8" x14ac:dyDescent="0.35">
      <c r="C263" s="1" t="s">
        <v>42</v>
      </c>
    </row>
    <row r="264" spans="2:8" x14ac:dyDescent="0.35">
      <c r="C264" s="1" t="s">
        <v>43</v>
      </c>
    </row>
    <row r="265" spans="2:8" x14ac:dyDescent="0.35">
      <c r="C265" s="1" t="s">
        <v>44</v>
      </c>
    </row>
    <row r="267" spans="2:8" x14ac:dyDescent="0.35">
      <c r="B267" s="2" t="s">
        <v>7</v>
      </c>
      <c r="C267" s="1" t="s">
        <v>45</v>
      </c>
    </row>
    <row r="268" spans="2:8" hidden="1" outlineLevel="1" x14ac:dyDescent="0.35"/>
    <row r="269" spans="2:8" hidden="1" outlineLevel="1" x14ac:dyDescent="0.35">
      <c r="C269" s="4" t="s">
        <v>91</v>
      </c>
      <c r="D269" s="6">
        <v>10</v>
      </c>
    </row>
    <row r="270" spans="2:8" hidden="1" outlineLevel="1" x14ac:dyDescent="0.35">
      <c r="C270" s="4" t="s">
        <v>89</v>
      </c>
      <c r="D270" s="6">
        <v>10</v>
      </c>
    </row>
    <row r="271" spans="2:8" hidden="1" outlineLevel="1" x14ac:dyDescent="0.35">
      <c r="C271" s="4" t="s">
        <v>1</v>
      </c>
      <c r="D271" s="5">
        <f>3/12</f>
        <v>0.25</v>
      </c>
    </row>
    <row r="272" spans="2:8" hidden="1" outlineLevel="1" x14ac:dyDescent="0.35">
      <c r="C272" s="4" t="s">
        <v>137</v>
      </c>
      <c r="D272" s="9">
        <v>0.03</v>
      </c>
    </row>
    <row r="273" spans="3:10" hidden="1" outlineLevel="1" x14ac:dyDescent="0.35">
      <c r="C273" s="4" t="s">
        <v>183</v>
      </c>
      <c r="D273" s="10">
        <v>0.01</v>
      </c>
    </row>
    <row r="274" spans="3:10" hidden="1" outlineLevel="1" x14ac:dyDescent="0.35">
      <c r="C274" s="30" t="s">
        <v>172</v>
      </c>
      <c r="D274" s="6">
        <v>1</v>
      </c>
      <c r="E274" s="8" t="s">
        <v>86</v>
      </c>
      <c r="F274" s="8" t="s">
        <v>184</v>
      </c>
      <c r="G274" s="5">
        <v>80</v>
      </c>
      <c r="H274" s="8" t="s">
        <v>185</v>
      </c>
    </row>
    <row r="275" spans="3:10" hidden="1" outlineLevel="1" x14ac:dyDescent="0.35">
      <c r="C275" s="4" t="s">
        <v>186</v>
      </c>
      <c r="D275" s="5">
        <v>240</v>
      </c>
    </row>
    <row r="276" spans="3:10" hidden="1" outlineLevel="1" x14ac:dyDescent="0.35"/>
    <row r="277" spans="3:10" ht="15.5" hidden="1" customHeight="1" outlineLevel="1" x14ac:dyDescent="0.35"/>
    <row r="278" spans="3:10" ht="15.5" hidden="1" customHeight="1" outlineLevel="1" x14ac:dyDescent="0.35">
      <c r="C278" s="66" t="s">
        <v>88</v>
      </c>
      <c r="D278" s="67"/>
      <c r="E278" s="66" t="s">
        <v>188</v>
      </c>
      <c r="F278" s="67"/>
      <c r="G278" s="66" t="s">
        <v>189</v>
      </c>
      <c r="H278" s="67"/>
      <c r="I278" s="66" t="s">
        <v>190</v>
      </c>
      <c r="J278" s="67"/>
    </row>
    <row r="279" spans="3:10" ht="15.5" hidden="1" customHeight="1" outlineLevel="1" x14ac:dyDescent="0.35">
      <c r="C279" s="25"/>
      <c r="I279" s="2" t="s">
        <v>119</v>
      </c>
      <c r="J279" s="26"/>
    </row>
    <row r="280" spans="3:10" ht="15.5" hidden="1" customHeight="1" outlineLevel="1" x14ac:dyDescent="0.35">
      <c r="C280" s="25"/>
      <c r="G280" s="2" t="s">
        <v>193</v>
      </c>
      <c r="I280" s="4" t="s">
        <v>125</v>
      </c>
      <c r="J280" s="6">
        <f>H288*EXP($D$273*SQRT($G$274))</f>
        <v>11.881878525498383</v>
      </c>
    </row>
    <row r="281" spans="3:10" ht="15.5" hidden="1" customHeight="1" outlineLevel="1" x14ac:dyDescent="0.35">
      <c r="C281" s="25"/>
      <c r="G281" s="4" t="s">
        <v>89</v>
      </c>
      <c r="H281" s="6">
        <f>$D$270</f>
        <v>10</v>
      </c>
      <c r="I281" s="12" t="s">
        <v>156</v>
      </c>
      <c r="J281" s="15">
        <f>IF(J280&gt;$D$270,J280-$D$270,0)</f>
        <v>1.881878525498383</v>
      </c>
    </row>
    <row r="282" spans="3:10" ht="15.5" hidden="1" customHeight="1" outlineLevel="1" x14ac:dyDescent="0.35">
      <c r="C282" s="25"/>
      <c r="G282" s="4" t="s">
        <v>125</v>
      </c>
      <c r="H282" s="6">
        <f>J280</f>
        <v>11.881878525498383</v>
      </c>
      <c r="J282" s="26"/>
    </row>
    <row r="283" spans="3:10" ht="15.5" hidden="1" customHeight="1" outlineLevel="1" x14ac:dyDescent="0.35">
      <c r="C283" s="25"/>
      <c r="G283" s="4" t="s">
        <v>126</v>
      </c>
      <c r="H283" s="6">
        <f>J289</f>
        <v>9.9356469114854171</v>
      </c>
      <c r="J283" s="26"/>
    </row>
    <row r="284" spans="3:10" ht="15.5" hidden="1" customHeight="1" outlineLevel="1" x14ac:dyDescent="0.35">
      <c r="C284" s="25"/>
      <c r="G284" s="4" t="s">
        <v>156</v>
      </c>
      <c r="H284" s="6">
        <f>J281</f>
        <v>1.881878525498383</v>
      </c>
      <c r="J284" s="26"/>
    </row>
    <row r="285" spans="3:10" ht="15.5" hidden="1" customHeight="1" outlineLevel="1" x14ac:dyDescent="0.35">
      <c r="C285" s="25"/>
      <c r="G285" s="4" t="s">
        <v>157</v>
      </c>
      <c r="H285" s="6">
        <f>J290</f>
        <v>0</v>
      </c>
      <c r="J285" s="26"/>
    </row>
    <row r="286" spans="3:10" ht="15.5" hidden="1" customHeight="1" outlineLevel="1" x14ac:dyDescent="0.35">
      <c r="C286" s="25"/>
      <c r="G286" s="12" t="s">
        <v>124</v>
      </c>
      <c r="H286" s="56">
        <f>(H284-H285)/(H282-H283)</f>
        <v>0.96693451691400067</v>
      </c>
      <c r="J286" s="26"/>
    </row>
    <row r="287" spans="3:10" ht="15.5" hidden="1" customHeight="1" outlineLevel="1" x14ac:dyDescent="0.35">
      <c r="C287" s="25"/>
      <c r="E287" s="2" t="s">
        <v>108</v>
      </c>
      <c r="G287" s="12" t="s">
        <v>87</v>
      </c>
      <c r="H287" s="56">
        <f>(H285-H283*H286)*EXP(-$D$272*($G$274/$D$275))</f>
        <v>-9.5115275059250273</v>
      </c>
      <c r="J287" s="26"/>
    </row>
    <row r="288" spans="3:10" ht="15.5" hidden="1" customHeight="1" outlineLevel="1" x14ac:dyDescent="0.35">
      <c r="C288" s="25"/>
      <c r="E288" s="4" t="s">
        <v>89</v>
      </c>
      <c r="F288" s="6">
        <f>$D$270</f>
        <v>10</v>
      </c>
      <c r="G288" s="12" t="s">
        <v>130</v>
      </c>
      <c r="H288" s="38">
        <f>F295*EXP($D$273*SQRT($G$274))</f>
        <v>10.865272646119513</v>
      </c>
      <c r="I288" s="2" t="s">
        <v>120</v>
      </c>
      <c r="J288" s="26"/>
    </row>
    <row r="289" spans="3:10" ht="15.5" hidden="1" customHeight="1" outlineLevel="1" x14ac:dyDescent="0.35">
      <c r="C289" s="25"/>
      <c r="E289" s="4" t="s">
        <v>130</v>
      </c>
      <c r="F289" s="6">
        <f>H288</f>
        <v>10.865272646119513</v>
      </c>
      <c r="G289" s="12" t="s">
        <v>158</v>
      </c>
      <c r="H289" s="15">
        <f>H288*H286+H287</f>
        <v>0.99447965128944915</v>
      </c>
      <c r="I289" s="4" t="s">
        <v>126</v>
      </c>
      <c r="J289" s="6">
        <f>H288*EXP(-$D$273*SQRT($G$274))</f>
        <v>9.9356469114854171</v>
      </c>
    </row>
    <row r="290" spans="3:10" ht="15.5" hidden="1" customHeight="1" outlineLevel="1" x14ac:dyDescent="0.35">
      <c r="C290" s="25"/>
      <c r="E290" s="4" t="s">
        <v>135</v>
      </c>
      <c r="F290" s="6">
        <f>H301</f>
        <v>9.0855593563927819</v>
      </c>
      <c r="I290" s="12" t="s">
        <v>157</v>
      </c>
      <c r="J290" s="15">
        <f>IF(J289&gt;$D$270,J289-$D$270,0)</f>
        <v>0</v>
      </c>
    </row>
    <row r="291" spans="3:10" ht="15.5" hidden="1" customHeight="1" outlineLevel="1" x14ac:dyDescent="0.35">
      <c r="C291" s="25"/>
      <c r="E291" s="4" t="s">
        <v>158</v>
      </c>
      <c r="F291" s="6">
        <f>H289</f>
        <v>0.99447965128944915</v>
      </c>
      <c r="J291" s="26"/>
    </row>
    <row r="292" spans="3:10" ht="15.5" hidden="1" customHeight="1" outlineLevel="1" x14ac:dyDescent="0.35">
      <c r="C292" s="25"/>
      <c r="E292" s="4" t="s">
        <v>161</v>
      </c>
      <c r="F292" s="6">
        <f>H302</f>
        <v>0</v>
      </c>
      <c r="I292" s="2" t="s">
        <v>114</v>
      </c>
      <c r="J292" s="26"/>
    </row>
    <row r="293" spans="3:10" ht="15.5" hidden="1" customHeight="1" outlineLevel="1" x14ac:dyDescent="0.35">
      <c r="C293" s="25"/>
      <c r="E293" s="12" t="s">
        <v>124</v>
      </c>
      <c r="F293" s="56">
        <f>(F291-F292)/(F289-F290)</f>
        <v>0.55878643882136114</v>
      </c>
      <c r="G293" s="2" t="s">
        <v>194</v>
      </c>
      <c r="I293" s="4" t="s">
        <v>131</v>
      </c>
      <c r="J293" s="6">
        <f>H301*EXP($D$273*SQRT($G$274))</f>
        <v>9.9356469114854153</v>
      </c>
    </row>
    <row r="294" spans="3:10" ht="15.5" hidden="1" customHeight="1" outlineLevel="1" x14ac:dyDescent="0.35">
      <c r="C294" s="25"/>
      <c r="E294" s="12" t="s">
        <v>87</v>
      </c>
      <c r="F294" s="56">
        <f>(F292-F290*F293)*EXP(-$D$272*($G$274/$D$275))</f>
        <v>-5.0263714842153586</v>
      </c>
      <c r="G294" s="4" t="s">
        <v>89</v>
      </c>
      <c r="H294" s="6">
        <f>$D$270</f>
        <v>10</v>
      </c>
      <c r="I294" s="12" t="s">
        <v>156</v>
      </c>
      <c r="J294" s="15">
        <f>IF(J293&gt;$D$270,J293-$D$270,0)</f>
        <v>0</v>
      </c>
    </row>
    <row r="295" spans="3:10" ht="15.5" hidden="1" customHeight="1" outlineLevel="1" x14ac:dyDescent="0.35">
      <c r="C295" s="25"/>
      <c r="E295" s="12" t="s">
        <v>191</v>
      </c>
      <c r="F295" s="38">
        <f>D302-$D$274</f>
        <v>9.9356469114854171</v>
      </c>
      <c r="G295" s="4" t="s">
        <v>131</v>
      </c>
      <c r="H295" s="6">
        <f>J289</f>
        <v>9.9356469114854171</v>
      </c>
      <c r="J295" s="26"/>
    </row>
    <row r="296" spans="3:10" ht="15.5" hidden="1" customHeight="1" outlineLevel="1" x14ac:dyDescent="0.35">
      <c r="C296" s="25"/>
      <c r="E296" s="12" t="s">
        <v>168</v>
      </c>
      <c r="F296" s="15">
        <f>F295*F293+F294</f>
        <v>0.52553327084003332</v>
      </c>
      <c r="G296" s="4" t="s">
        <v>132</v>
      </c>
      <c r="H296" s="6">
        <f>J302</f>
        <v>8.3082047453913876</v>
      </c>
      <c r="J296" s="26"/>
    </row>
    <row r="297" spans="3:10" ht="15.5" hidden="1" customHeight="1" outlineLevel="1" x14ac:dyDescent="0.35">
      <c r="C297" s="25"/>
      <c r="G297" s="4" t="s">
        <v>159</v>
      </c>
      <c r="H297" s="6">
        <f>J294</f>
        <v>0</v>
      </c>
      <c r="J297" s="26"/>
    </row>
    <row r="298" spans="3:10" ht="15.5" hidden="1" customHeight="1" outlineLevel="1" x14ac:dyDescent="0.35">
      <c r="C298" s="25"/>
      <c r="G298" s="4" t="s">
        <v>160</v>
      </c>
      <c r="H298" s="6">
        <f>J303</f>
        <v>0</v>
      </c>
      <c r="J298" s="26"/>
    </row>
    <row r="299" spans="3:10" ht="15.5" hidden="1" customHeight="1" outlineLevel="1" x14ac:dyDescent="0.35">
      <c r="C299" s="25"/>
      <c r="G299" s="12" t="s">
        <v>124</v>
      </c>
      <c r="H299" s="56">
        <f>(H297-H298)/(H295-H296)</f>
        <v>0</v>
      </c>
      <c r="J299" s="26"/>
    </row>
    <row r="300" spans="3:10" ht="15.5" hidden="1" customHeight="1" outlineLevel="1" x14ac:dyDescent="0.35">
      <c r="C300" s="57" t="s">
        <v>277</v>
      </c>
      <c r="G300" s="12" t="s">
        <v>87</v>
      </c>
      <c r="H300" s="56">
        <f>(H298-H296*H299)*EXP(-$D$272*($G$274/$D$275))</f>
        <v>0</v>
      </c>
      <c r="J300" s="26"/>
    </row>
    <row r="301" spans="3:10" ht="15.5" hidden="1" customHeight="1" outlineLevel="1" x14ac:dyDescent="0.35">
      <c r="C301" s="4" t="s">
        <v>89</v>
      </c>
      <c r="D301" s="6">
        <f>$D$270</f>
        <v>10</v>
      </c>
      <c r="G301" s="12" t="s">
        <v>135</v>
      </c>
      <c r="H301" s="38">
        <f>F295*EXP(-$D$273*SQRT($G$274))</f>
        <v>9.0855593563927819</v>
      </c>
      <c r="I301" s="2" t="s">
        <v>113</v>
      </c>
      <c r="J301" s="26"/>
    </row>
    <row r="302" spans="3:10" ht="15.5" hidden="1" customHeight="1" outlineLevel="1" x14ac:dyDescent="0.35">
      <c r="C302" s="4" t="s">
        <v>151</v>
      </c>
      <c r="D302" s="6">
        <f>$D$308*EXP($D$273*SQRT($G$274))</f>
        <v>10.935646911485417</v>
      </c>
      <c r="G302" s="12" t="s">
        <v>161</v>
      </c>
      <c r="H302" s="15">
        <f>H301*H299+H300</f>
        <v>0</v>
      </c>
      <c r="I302" s="4" t="s">
        <v>132</v>
      </c>
      <c r="J302" s="6">
        <f>H301*EXP(-$D$273*SQRT($G$274))</f>
        <v>8.3082047453913876</v>
      </c>
    </row>
    <row r="303" spans="3:10" ht="15.5" hidden="1" customHeight="1" outlineLevel="1" x14ac:dyDescent="0.35">
      <c r="C303" s="4" t="s">
        <v>153</v>
      </c>
      <c r="D303" s="6">
        <f>$D$308*EXP(-$D$273*SQRT($G$274))</f>
        <v>9.1444064360721704</v>
      </c>
      <c r="I303" s="12" t="s">
        <v>160</v>
      </c>
      <c r="J303" s="15">
        <f>IF(J302&gt;$D$270,J302-$D$270,0)</f>
        <v>0</v>
      </c>
    </row>
    <row r="304" spans="3:10" ht="15.5" hidden="1" customHeight="1" outlineLevel="1" x14ac:dyDescent="0.35">
      <c r="C304" s="4" t="s">
        <v>168</v>
      </c>
      <c r="D304" s="6">
        <f>F296</f>
        <v>0.52553327084003332</v>
      </c>
      <c r="J304" s="26"/>
    </row>
    <row r="305" spans="3:10" ht="15.5" hidden="1" customHeight="1" outlineLevel="1" x14ac:dyDescent="0.35">
      <c r="C305" s="4" t="s">
        <v>169</v>
      </c>
      <c r="D305" s="6">
        <f>F323</f>
        <v>0</v>
      </c>
      <c r="J305" s="26"/>
    </row>
    <row r="306" spans="3:10" ht="15.5" hidden="1" customHeight="1" outlineLevel="1" x14ac:dyDescent="0.35">
      <c r="C306" s="12" t="s">
        <v>124</v>
      </c>
      <c r="D306" s="56">
        <f>(D304-D305)/(D302-D303)</f>
        <v>0.29339068542362556</v>
      </c>
      <c r="I306" s="2" t="s">
        <v>115</v>
      </c>
      <c r="J306" s="26"/>
    </row>
    <row r="307" spans="3:10" ht="15.5" hidden="1" customHeight="1" outlineLevel="1" x14ac:dyDescent="0.35">
      <c r="C307" s="12" t="s">
        <v>87</v>
      </c>
      <c r="D307" s="56">
        <f>(D305-D303*D306)*EXP(-$D$272*($G$274/$D$275))</f>
        <v>-2.6561885335026743</v>
      </c>
      <c r="G307" s="2" t="s">
        <v>195</v>
      </c>
      <c r="I307" s="4" t="s">
        <v>139</v>
      </c>
      <c r="J307" s="6">
        <f>H315*EXP($D$273*SQRT($G$274))</f>
        <v>9.7397631777586113</v>
      </c>
    </row>
    <row r="308" spans="3:10" ht="15.5" hidden="1" customHeight="1" outlineLevel="1" x14ac:dyDescent="0.35">
      <c r="C308" s="12" t="s">
        <v>91</v>
      </c>
      <c r="D308" s="38">
        <f>D269</f>
        <v>10</v>
      </c>
      <c r="G308" s="4" t="s">
        <v>89</v>
      </c>
      <c r="H308" s="6">
        <f>$D$270</f>
        <v>10</v>
      </c>
      <c r="I308" s="12" t="s">
        <v>162</v>
      </c>
      <c r="J308" s="15">
        <f>IF(J307&gt;$D$270,J307-$D$270,0)</f>
        <v>0</v>
      </c>
    </row>
    <row r="309" spans="3:10" ht="15.5" hidden="1" customHeight="1" outlineLevel="1" x14ac:dyDescent="0.35">
      <c r="C309" s="12" t="s">
        <v>16</v>
      </c>
      <c r="D309" s="31">
        <f>D308*D306+D307</f>
        <v>0.27771832073358116</v>
      </c>
      <c r="G309" s="4" t="s">
        <v>139</v>
      </c>
      <c r="H309" s="6">
        <f>J307</f>
        <v>9.7397631777586113</v>
      </c>
      <c r="J309" s="26"/>
    </row>
    <row r="310" spans="3:10" ht="15.5" hidden="1" customHeight="1" outlineLevel="1" x14ac:dyDescent="0.35">
      <c r="C310" s="25"/>
      <c r="G310" s="4" t="s">
        <v>140</v>
      </c>
      <c r="H310" s="6">
        <f>J316</f>
        <v>8.1444064360721704</v>
      </c>
      <c r="J310" s="26"/>
    </row>
    <row r="311" spans="3:10" ht="15.5" hidden="1" customHeight="1" outlineLevel="1" x14ac:dyDescent="0.35">
      <c r="C311" s="25"/>
      <c r="G311" s="4" t="s">
        <v>162</v>
      </c>
      <c r="H311" s="6">
        <f>J308</f>
        <v>0</v>
      </c>
      <c r="J311" s="26"/>
    </row>
    <row r="312" spans="3:10" ht="15.5" hidden="1" customHeight="1" outlineLevel="1" x14ac:dyDescent="0.35">
      <c r="C312" s="25"/>
      <c r="G312" s="4" t="s">
        <v>163</v>
      </c>
      <c r="H312" s="6">
        <f>J317</f>
        <v>0</v>
      </c>
      <c r="J312" s="26"/>
    </row>
    <row r="313" spans="3:10" ht="15.5" hidden="1" customHeight="1" outlineLevel="1" x14ac:dyDescent="0.35">
      <c r="C313" s="25"/>
      <c r="G313" s="12" t="s">
        <v>124</v>
      </c>
      <c r="H313" s="56">
        <f>(H311-H312)/(H309-H310)</f>
        <v>0</v>
      </c>
      <c r="J313" s="26"/>
    </row>
    <row r="314" spans="3:10" ht="15.5" hidden="1" customHeight="1" outlineLevel="1" x14ac:dyDescent="0.35">
      <c r="C314" s="25"/>
      <c r="E314" s="2" t="s">
        <v>98</v>
      </c>
      <c r="G314" s="12" t="s">
        <v>87</v>
      </c>
      <c r="H314" s="56">
        <f>(H312-H310*H313)*EXP(-$D$272*($G$274/$D$275))</f>
        <v>0</v>
      </c>
      <c r="J314" s="26"/>
    </row>
    <row r="315" spans="3:10" ht="15.5" hidden="1" customHeight="1" outlineLevel="1" x14ac:dyDescent="0.35">
      <c r="C315" s="25"/>
      <c r="E315" s="4" t="s">
        <v>89</v>
      </c>
      <c r="F315" s="6">
        <f>$D$270</f>
        <v>10</v>
      </c>
      <c r="G315" s="12" t="s">
        <v>143</v>
      </c>
      <c r="H315" s="38">
        <f>F322*EXP($D$273*SQRT($G$274))</f>
        <v>8.9064353088514583</v>
      </c>
      <c r="I315" s="2" t="s">
        <v>116</v>
      </c>
      <c r="J315" s="26"/>
    </row>
    <row r="316" spans="3:10" ht="15.5" hidden="1" customHeight="1" outlineLevel="1" x14ac:dyDescent="0.35">
      <c r="C316" s="25"/>
      <c r="E316" s="4" t="s">
        <v>143</v>
      </c>
      <c r="F316" s="6">
        <f>H315</f>
        <v>8.9064353088514583</v>
      </c>
      <c r="G316" s="12" t="s">
        <v>164</v>
      </c>
      <c r="H316" s="15">
        <f>H315*H313+H314</f>
        <v>0</v>
      </c>
      <c r="I316" s="4" t="s">
        <v>140</v>
      </c>
      <c r="J316" s="6">
        <f>H315*EXP(-$D$273*SQRT($G$274))</f>
        <v>8.1444064360721704</v>
      </c>
    </row>
    <row r="317" spans="3:10" ht="15.5" hidden="1" customHeight="1" outlineLevel="1" x14ac:dyDescent="0.35">
      <c r="C317" s="25"/>
      <c r="E317" s="4" t="s">
        <v>149</v>
      </c>
      <c r="F317" s="6">
        <f>H328</f>
        <v>7.4475762632005962</v>
      </c>
      <c r="I317" s="12" t="s">
        <v>163</v>
      </c>
      <c r="J317" s="15">
        <f>IF(J316&gt;$D$270,J316-$D$270,0)</f>
        <v>0</v>
      </c>
    </row>
    <row r="318" spans="3:10" ht="15.5" hidden="1" customHeight="1" outlineLevel="1" x14ac:dyDescent="0.35">
      <c r="C318" s="25"/>
      <c r="E318" s="4" t="s">
        <v>164</v>
      </c>
      <c r="F318" s="6">
        <f>H316</f>
        <v>0</v>
      </c>
      <c r="J318" s="26"/>
    </row>
    <row r="319" spans="3:10" ht="15.5" hidden="1" customHeight="1" outlineLevel="1" x14ac:dyDescent="0.35">
      <c r="C319" s="25"/>
      <c r="E319" s="4" t="s">
        <v>167</v>
      </c>
      <c r="F319" s="6">
        <f>H329</f>
        <v>0</v>
      </c>
      <c r="I319" s="2" t="s">
        <v>117</v>
      </c>
      <c r="J319" s="26"/>
    </row>
    <row r="320" spans="3:10" ht="15.5" hidden="1" customHeight="1" outlineLevel="1" x14ac:dyDescent="0.35">
      <c r="C320" s="25"/>
      <c r="E320" s="12" t="s">
        <v>124</v>
      </c>
      <c r="F320" s="56">
        <f>(F318-F319)/(F316-F317)</f>
        <v>0</v>
      </c>
      <c r="G320" s="2" t="s">
        <v>196</v>
      </c>
      <c r="I320" s="4" t="s">
        <v>145</v>
      </c>
      <c r="J320" s="6">
        <f>H328*EXP($D$273*SQRT($G$274))</f>
        <v>8.1444064360721704</v>
      </c>
    </row>
    <row r="321" spans="2:10" ht="15.5" hidden="1" customHeight="1" outlineLevel="1" x14ac:dyDescent="0.35">
      <c r="C321" s="25"/>
      <c r="E321" s="12" t="s">
        <v>87</v>
      </c>
      <c r="F321" s="56">
        <f>(F319-F317*F320)*EXP(-$D$272*($G$274/$D$275))</f>
        <v>0</v>
      </c>
      <c r="G321" s="4" t="s">
        <v>89</v>
      </c>
      <c r="H321" s="6">
        <f>$D$270</f>
        <v>10</v>
      </c>
      <c r="I321" s="12" t="s">
        <v>165</v>
      </c>
      <c r="J321" s="15">
        <f>IF(J320&gt;$D$81,J320-$D$81,0)</f>
        <v>0</v>
      </c>
    </row>
    <row r="322" spans="2:10" ht="15.5" hidden="1" customHeight="1" outlineLevel="1" x14ac:dyDescent="0.35">
      <c r="C322" s="25"/>
      <c r="E322" s="12" t="s">
        <v>192</v>
      </c>
      <c r="F322" s="38">
        <f>D303-$D$274</f>
        <v>8.1444064360721704</v>
      </c>
      <c r="G322" s="4" t="s">
        <v>145</v>
      </c>
      <c r="H322" s="6">
        <f>J320</f>
        <v>8.1444064360721704</v>
      </c>
      <c r="J322" s="26"/>
    </row>
    <row r="323" spans="2:10" ht="15.5" hidden="1" customHeight="1" outlineLevel="1" x14ac:dyDescent="0.35">
      <c r="C323" s="25"/>
      <c r="E323" s="12" t="s">
        <v>169</v>
      </c>
      <c r="F323" s="15">
        <f>F322*F320+F321</f>
        <v>0</v>
      </c>
      <c r="G323" s="4" t="s">
        <v>146</v>
      </c>
      <c r="H323" s="6">
        <f>J329</f>
        <v>6.8103664314349857</v>
      </c>
      <c r="J323" s="26"/>
    </row>
    <row r="324" spans="2:10" ht="15.5" hidden="1" customHeight="1" outlineLevel="1" x14ac:dyDescent="0.35">
      <c r="C324" s="25"/>
      <c r="G324" s="4" t="s">
        <v>165</v>
      </c>
      <c r="H324" s="6">
        <f>J321</f>
        <v>0</v>
      </c>
      <c r="J324" s="26"/>
    </row>
    <row r="325" spans="2:10" ht="15.5" hidden="1" customHeight="1" outlineLevel="1" x14ac:dyDescent="0.35">
      <c r="C325" s="25"/>
      <c r="G325" s="4" t="s">
        <v>166</v>
      </c>
      <c r="H325" s="6">
        <f>J330</f>
        <v>0</v>
      </c>
      <c r="J325" s="26"/>
    </row>
    <row r="326" spans="2:10" ht="15.5" hidden="1" customHeight="1" outlineLevel="1" x14ac:dyDescent="0.35">
      <c r="C326" s="25"/>
      <c r="G326" s="12" t="s">
        <v>124</v>
      </c>
      <c r="H326" s="56">
        <f>(H324-H325)/(H322-H323)</f>
        <v>0</v>
      </c>
      <c r="J326" s="26"/>
    </row>
    <row r="327" spans="2:10" ht="15.5" hidden="1" customHeight="1" outlineLevel="1" x14ac:dyDescent="0.35">
      <c r="C327" s="25"/>
      <c r="G327" s="12" t="s">
        <v>87</v>
      </c>
      <c r="H327" s="56">
        <f>(H325-H323*H326)*EXP(-$D$272*($G$274/$D$275))</f>
        <v>0</v>
      </c>
      <c r="J327" s="26"/>
    </row>
    <row r="328" spans="2:10" ht="15.5" hidden="1" customHeight="1" outlineLevel="1" x14ac:dyDescent="0.35">
      <c r="C328" s="25"/>
      <c r="G328" s="12" t="s">
        <v>149</v>
      </c>
      <c r="H328" s="38">
        <f>F322*EXP(-$D$273*SQRT($G$274))</f>
        <v>7.4475762632005962</v>
      </c>
      <c r="I328" s="2" t="s">
        <v>118</v>
      </c>
      <c r="J328" s="26"/>
    </row>
    <row r="329" spans="2:10" ht="15.5" hidden="1" customHeight="1" outlineLevel="1" x14ac:dyDescent="0.35">
      <c r="C329" s="25"/>
      <c r="G329" s="12" t="s">
        <v>167</v>
      </c>
      <c r="H329" s="15">
        <f>H328*H326+H327</f>
        <v>0</v>
      </c>
      <c r="I329" s="4" t="s">
        <v>146</v>
      </c>
      <c r="J329" s="6">
        <f>H328*EXP(-$D$273*SQRT($G$274))</f>
        <v>6.8103664314349857</v>
      </c>
    </row>
    <row r="330" spans="2:10" ht="15.5" hidden="1" customHeight="1" outlineLevel="1" x14ac:dyDescent="0.35">
      <c r="C330" s="28"/>
      <c r="D330" s="29"/>
      <c r="E330" s="29"/>
      <c r="F330" s="29"/>
      <c r="G330" s="29"/>
      <c r="H330" s="29"/>
      <c r="I330" s="12" t="s">
        <v>166</v>
      </c>
      <c r="J330" s="15">
        <f>IF(J329&gt;$D$270,J329-$D$270,0)</f>
        <v>0</v>
      </c>
    </row>
    <row r="331" spans="2:10" collapsed="1" x14ac:dyDescent="0.35"/>
    <row r="332" spans="2:10" x14ac:dyDescent="0.35">
      <c r="B332" s="2" t="s">
        <v>6</v>
      </c>
      <c r="C332" s="1" t="s">
        <v>46</v>
      </c>
    </row>
    <row r="333" spans="2:10" hidden="1" outlineLevel="1" x14ac:dyDescent="0.35"/>
    <row r="334" spans="2:10" hidden="1" outlineLevel="1" x14ac:dyDescent="0.35">
      <c r="C334" s="4" t="s">
        <v>201</v>
      </c>
      <c r="D334" s="6">
        <f>D269-D274*EXP(-D272*(G274/D275))</f>
        <v>9.0099501662508317</v>
      </c>
      <c r="E334" s="8" t="s">
        <v>86</v>
      </c>
      <c r="F334" s="34" t="s">
        <v>202</v>
      </c>
    </row>
    <row r="335" spans="2:10" hidden="1" outlineLevel="1" x14ac:dyDescent="0.35"/>
    <row r="336" spans="2:10" hidden="1" outlineLevel="1" x14ac:dyDescent="0.35">
      <c r="C336" s="4" t="s">
        <v>197</v>
      </c>
      <c r="D336" s="32">
        <f>LN(D334/(D270*EXP(-D272)))/(D273*SQRT(D275))+(D273*SQRT(D275))/2</f>
        <v>-0.40185786228471948</v>
      </c>
    </row>
    <row r="337" spans="2:10" hidden="1" outlineLevel="1" x14ac:dyDescent="0.35">
      <c r="C337" s="4" t="s">
        <v>198</v>
      </c>
      <c r="D337" s="33">
        <f>_xlfn.NORM.DIST(D336,0,1,TRUE)</f>
        <v>0.34389431774392776</v>
      </c>
    </row>
    <row r="338" spans="2:10" hidden="1" outlineLevel="1" x14ac:dyDescent="0.35">
      <c r="C338" s="4" t="s">
        <v>199</v>
      </c>
      <c r="D338" s="32">
        <f>D336-D273*SQRT(D275)</f>
        <v>-0.55677719613301613</v>
      </c>
    </row>
    <row r="339" spans="2:10" hidden="1" outlineLevel="1" x14ac:dyDescent="0.35">
      <c r="C339" s="4" t="s">
        <v>200</v>
      </c>
      <c r="D339" s="32">
        <f>_xlfn.NORM.DIST(D338,0,1,TRUE)</f>
        <v>0.28883983305996574</v>
      </c>
    </row>
    <row r="340" spans="2:10" hidden="1" outlineLevel="1" x14ac:dyDescent="0.35"/>
    <row r="341" spans="2:10" hidden="1" outlineLevel="1" x14ac:dyDescent="0.35">
      <c r="C341" s="12" t="s">
        <v>170</v>
      </c>
      <c r="D341" s="31">
        <f>D334*D337-D270*EXP(-D272)*D339</f>
        <v>0.29543740629021364</v>
      </c>
    </row>
    <row r="342" spans="2:10" collapsed="1" x14ac:dyDescent="0.35"/>
    <row r="343" spans="2:10" x14ac:dyDescent="0.35">
      <c r="B343" s="2" t="s">
        <v>5</v>
      </c>
      <c r="C343" s="1" t="s">
        <v>47</v>
      </c>
    </row>
    <row r="344" spans="2:10" hidden="1" outlineLevel="1" x14ac:dyDescent="0.35"/>
    <row r="345" spans="2:10" hidden="1" outlineLevel="1" x14ac:dyDescent="0.35">
      <c r="C345" s="66" t="s">
        <v>88</v>
      </c>
      <c r="D345" s="67"/>
      <c r="E345" s="66" t="s">
        <v>188</v>
      </c>
      <c r="F345" s="67"/>
      <c r="G345" s="66" t="s">
        <v>189</v>
      </c>
      <c r="H345" s="67"/>
      <c r="I345" s="66" t="s">
        <v>190</v>
      </c>
      <c r="J345" s="67"/>
    </row>
    <row r="346" spans="2:10" hidden="1" outlineLevel="1" x14ac:dyDescent="0.35">
      <c r="C346" s="25"/>
      <c r="I346" s="2" t="s">
        <v>119</v>
      </c>
      <c r="J346" s="26"/>
    </row>
    <row r="347" spans="2:10" hidden="1" outlineLevel="1" x14ac:dyDescent="0.35">
      <c r="C347" s="25"/>
      <c r="G347" s="2" t="s">
        <v>193</v>
      </c>
      <c r="I347" s="4" t="s">
        <v>125</v>
      </c>
      <c r="J347" s="6">
        <f>J280</f>
        <v>11.881878525498383</v>
      </c>
    </row>
    <row r="348" spans="2:10" hidden="1" outlineLevel="1" x14ac:dyDescent="0.35">
      <c r="C348" s="25"/>
      <c r="G348" s="4" t="s">
        <v>89</v>
      </c>
      <c r="H348" s="6">
        <f>$D$270</f>
        <v>10</v>
      </c>
      <c r="I348" s="12" t="s">
        <v>156</v>
      </c>
      <c r="J348" s="15">
        <f>IF(J347&gt;$D$270,J347-$D$270,0)</f>
        <v>1.881878525498383</v>
      </c>
    </row>
    <row r="349" spans="2:10" hidden="1" outlineLevel="1" x14ac:dyDescent="0.35">
      <c r="C349" s="25"/>
      <c r="G349" s="4" t="s">
        <v>125</v>
      </c>
      <c r="H349" s="6">
        <f>J347</f>
        <v>11.881878525498383</v>
      </c>
      <c r="J349" s="26"/>
    </row>
    <row r="350" spans="2:10" hidden="1" outlineLevel="1" x14ac:dyDescent="0.35">
      <c r="C350" s="25"/>
      <c r="E350" s="2" t="s">
        <v>108</v>
      </c>
      <c r="G350" s="4" t="s">
        <v>126</v>
      </c>
      <c r="H350" s="6">
        <f>J356</f>
        <v>9.9356469114854171</v>
      </c>
      <c r="J350" s="26"/>
    </row>
    <row r="351" spans="2:10" hidden="1" outlineLevel="1" x14ac:dyDescent="0.35">
      <c r="C351" s="25"/>
      <c r="E351" s="58" t="s">
        <v>203</v>
      </c>
      <c r="F351" s="59"/>
      <c r="G351" s="4" t="s">
        <v>156</v>
      </c>
      <c r="H351" s="6">
        <f>J348</f>
        <v>1.881878525498383</v>
      </c>
      <c r="J351" s="26"/>
    </row>
    <row r="352" spans="2:10" hidden="1" outlineLevel="1" x14ac:dyDescent="0.35">
      <c r="C352" s="25"/>
      <c r="E352" s="4" t="s">
        <v>89</v>
      </c>
      <c r="F352" s="6">
        <f>$D$270</f>
        <v>10</v>
      </c>
      <c r="G352" s="4" t="s">
        <v>157</v>
      </c>
      <c r="H352" s="6">
        <f>J357</f>
        <v>0</v>
      </c>
      <c r="J352" s="26"/>
    </row>
    <row r="353" spans="3:10" hidden="1" outlineLevel="1" x14ac:dyDescent="0.35">
      <c r="C353" s="25"/>
      <c r="E353" s="35" t="s">
        <v>151</v>
      </c>
      <c r="F353" s="36">
        <f>D302</f>
        <v>10.935646911485417</v>
      </c>
      <c r="G353" s="12" t="s">
        <v>124</v>
      </c>
      <c r="H353" s="56">
        <f>(H351-H352)/(H349-H350)</f>
        <v>0.96693451691400067</v>
      </c>
      <c r="J353" s="26"/>
    </row>
    <row r="354" spans="3:10" hidden="1" outlineLevel="1" x14ac:dyDescent="0.35">
      <c r="C354" s="25"/>
      <c r="E354" s="12" t="s">
        <v>181</v>
      </c>
      <c r="F354" s="15">
        <f>IF(F353&gt;$D$270,F353-$D$270,0)</f>
        <v>0.93564691148541712</v>
      </c>
      <c r="G354" s="12" t="s">
        <v>87</v>
      </c>
      <c r="H354" s="56">
        <f>(H352-H350*H353)*EXP(-$D$272*($G$274/$D$275))</f>
        <v>-9.5115275059250273</v>
      </c>
      <c r="J354" s="26"/>
    </row>
    <row r="355" spans="3:10" hidden="1" outlineLevel="1" x14ac:dyDescent="0.35">
      <c r="C355" s="25"/>
      <c r="E355" s="58" t="s">
        <v>269</v>
      </c>
      <c r="F355" s="59"/>
      <c r="G355" s="12" t="s">
        <v>130</v>
      </c>
      <c r="H355" s="38">
        <f>H288</f>
        <v>10.865272646119513</v>
      </c>
      <c r="I355" s="2" t="s">
        <v>120</v>
      </c>
      <c r="J355" s="26"/>
    </row>
    <row r="356" spans="3:10" hidden="1" outlineLevel="1" x14ac:dyDescent="0.35">
      <c r="C356" s="25"/>
      <c r="E356" s="4" t="s">
        <v>89</v>
      </c>
      <c r="F356" s="6">
        <f>$D$270</f>
        <v>10</v>
      </c>
      <c r="G356" s="12" t="s">
        <v>158</v>
      </c>
      <c r="H356" s="15">
        <f>H355*H353+H354</f>
        <v>0.99447965128944915</v>
      </c>
      <c r="I356" s="4" t="s">
        <v>126</v>
      </c>
      <c r="J356" s="6">
        <f>J289</f>
        <v>9.9356469114854171</v>
      </c>
    </row>
    <row r="357" spans="3:10" hidden="1" outlineLevel="1" x14ac:dyDescent="0.35">
      <c r="C357" s="25"/>
      <c r="E357" s="4" t="s">
        <v>130</v>
      </c>
      <c r="F357" s="6">
        <f>H355</f>
        <v>10.865272646119513</v>
      </c>
      <c r="I357" s="12" t="s">
        <v>157</v>
      </c>
      <c r="J357" s="15">
        <f>IF(J356&gt;$D$270,J356-$D$270,0)</f>
        <v>0</v>
      </c>
    </row>
    <row r="358" spans="3:10" hidden="1" outlineLevel="1" x14ac:dyDescent="0.35">
      <c r="C358" s="25"/>
      <c r="E358" s="4" t="s">
        <v>135</v>
      </c>
      <c r="F358" s="6">
        <f>H368</f>
        <v>9.0855593563927819</v>
      </c>
      <c r="J358" s="26"/>
    </row>
    <row r="359" spans="3:10" hidden="1" outlineLevel="1" x14ac:dyDescent="0.35">
      <c r="C359" s="25"/>
      <c r="E359" s="4" t="s">
        <v>158</v>
      </c>
      <c r="F359" s="6">
        <f>H356</f>
        <v>0.99447965128944915</v>
      </c>
      <c r="I359" s="2" t="s">
        <v>114</v>
      </c>
      <c r="J359" s="26"/>
    </row>
    <row r="360" spans="3:10" hidden="1" outlineLevel="1" x14ac:dyDescent="0.35">
      <c r="C360" s="25"/>
      <c r="E360" s="4" t="s">
        <v>161</v>
      </c>
      <c r="F360" s="6">
        <f>H369</f>
        <v>0</v>
      </c>
      <c r="G360" s="2" t="s">
        <v>194</v>
      </c>
      <c r="I360" s="4" t="s">
        <v>131</v>
      </c>
      <c r="J360" s="6">
        <f>J293</f>
        <v>9.9356469114854153</v>
      </c>
    </row>
    <row r="361" spans="3:10" hidden="1" outlineLevel="1" x14ac:dyDescent="0.35">
      <c r="C361" s="25"/>
      <c r="E361" s="12" t="s">
        <v>124</v>
      </c>
      <c r="F361" s="56">
        <f>(F359-F360)/(F357-F358)</f>
        <v>0.55878643882136114</v>
      </c>
      <c r="G361" s="4" t="s">
        <v>89</v>
      </c>
      <c r="H361" s="6">
        <f>$D$270</f>
        <v>10</v>
      </c>
      <c r="I361" s="12" t="s">
        <v>156</v>
      </c>
      <c r="J361" s="15">
        <f>IF(J360&gt;$D$270,J360-$D$270,0)</f>
        <v>0</v>
      </c>
    </row>
    <row r="362" spans="3:10" hidden="1" outlineLevel="1" x14ac:dyDescent="0.35">
      <c r="C362" s="25"/>
      <c r="E362" s="12" t="s">
        <v>87</v>
      </c>
      <c r="F362" s="56">
        <f>(F360-F358*F361)*EXP(-$D$272*($G$274/$D$275))</f>
        <v>-5.0263714842153586</v>
      </c>
      <c r="G362" s="4" t="s">
        <v>131</v>
      </c>
      <c r="H362" s="6">
        <f>J360</f>
        <v>9.9356469114854153</v>
      </c>
      <c r="J362" s="26"/>
    </row>
    <row r="363" spans="3:10" hidden="1" outlineLevel="1" x14ac:dyDescent="0.35">
      <c r="C363" s="25"/>
      <c r="E363" s="12" t="s">
        <v>191</v>
      </c>
      <c r="F363" s="38">
        <f>F295</f>
        <v>9.9356469114854171</v>
      </c>
      <c r="G363" s="4" t="s">
        <v>132</v>
      </c>
      <c r="H363" s="6">
        <f>J369</f>
        <v>8.3082047453913876</v>
      </c>
      <c r="J363" s="26"/>
    </row>
    <row r="364" spans="3:10" hidden="1" outlineLevel="1" x14ac:dyDescent="0.35">
      <c r="C364" s="25"/>
      <c r="E364" s="12" t="s">
        <v>168</v>
      </c>
      <c r="F364" s="38">
        <f>F363*F361+F362</f>
        <v>0.52553327084003332</v>
      </c>
      <c r="G364" s="4" t="s">
        <v>159</v>
      </c>
      <c r="H364" s="6">
        <f>J361</f>
        <v>0</v>
      </c>
      <c r="J364" s="26"/>
    </row>
    <row r="365" spans="3:10" hidden="1" outlineLevel="1" x14ac:dyDescent="0.35">
      <c r="C365" s="25"/>
      <c r="E365" s="69" t="s">
        <v>274</v>
      </c>
      <c r="F365" s="70"/>
      <c r="G365" s="4" t="s">
        <v>160</v>
      </c>
      <c r="H365" s="6">
        <f>J370</f>
        <v>0</v>
      </c>
      <c r="J365" s="26"/>
    </row>
    <row r="366" spans="3:10" hidden="1" outlineLevel="1" x14ac:dyDescent="0.35">
      <c r="C366" s="25"/>
      <c r="E366" s="71"/>
      <c r="F366" s="72"/>
      <c r="G366" s="12" t="s">
        <v>124</v>
      </c>
      <c r="H366" s="56">
        <f>(H364-H365)/(H362-H363)</f>
        <v>0</v>
      </c>
      <c r="J366" s="26"/>
    </row>
    <row r="367" spans="3:10" hidden="1" outlineLevel="1" x14ac:dyDescent="0.35">
      <c r="C367" s="57" t="s">
        <v>276</v>
      </c>
      <c r="G367" s="12" t="s">
        <v>87</v>
      </c>
      <c r="H367" s="56">
        <f>(H365-H363*H366)*EXP(-$D$272*($G$274/$D$275))</f>
        <v>0</v>
      </c>
      <c r="J367" s="26"/>
    </row>
    <row r="368" spans="3:10" hidden="1" outlineLevel="1" x14ac:dyDescent="0.35">
      <c r="C368" s="4" t="s">
        <v>89</v>
      </c>
      <c r="D368" s="6">
        <f>$D$270</f>
        <v>10</v>
      </c>
      <c r="G368" s="12" t="s">
        <v>135</v>
      </c>
      <c r="H368" s="38">
        <f>H301</f>
        <v>9.0855593563927819</v>
      </c>
      <c r="I368" s="2" t="s">
        <v>113</v>
      </c>
      <c r="J368" s="26"/>
    </row>
    <row r="369" spans="3:10" hidden="1" outlineLevel="1" x14ac:dyDescent="0.35">
      <c r="C369" s="4" t="s">
        <v>151</v>
      </c>
      <c r="D369" s="6">
        <f>D302</f>
        <v>10.935646911485417</v>
      </c>
      <c r="G369" s="12" t="s">
        <v>161</v>
      </c>
      <c r="H369" s="15">
        <f>H368*H366+H367</f>
        <v>0</v>
      </c>
      <c r="I369" s="4" t="s">
        <v>132</v>
      </c>
      <c r="J369" s="6">
        <f>J302</f>
        <v>8.3082047453913876</v>
      </c>
    </row>
    <row r="370" spans="3:10" hidden="1" outlineLevel="1" x14ac:dyDescent="0.35">
      <c r="C370" s="4" t="s">
        <v>153</v>
      </c>
      <c r="D370" s="6">
        <f>D303</f>
        <v>9.1444064360721704</v>
      </c>
      <c r="I370" s="12" t="s">
        <v>160</v>
      </c>
      <c r="J370" s="15">
        <f>IF(J369&gt;$D$270,J369-$D$270,0)</f>
        <v>0</v>
      </c>
    </row>
    <row r="371" spans="3:10" hidden="1" outlineLevel="1" x14ac:dyDescent="0.35">
      <c r="C371" s="4" t="s">
        <v>181</v>
      </c>
      <c r="D371" s="6">
        <f>F354</f>
        <v>0.93564691148541712</v>
      </c>
      <c r="J371" s="26"/>
    </row>
    <row r="372" spans="3:10" hidden="1" outlineLevel="1" x14ac:dyDescent="0.35">
      <c r="C372" s="4" t="s">
        <v>180</v>
      </c>
      <c r="D372" s="6">
        <f>F381</f>
        <v>0</v>
      </c>
      <c r="J372" s="26"/>
    </row>
    <row r="373" spans="3:10" hidden="1" outlineLevel="1" x14ac:dyDescent="0.35">
      <c r="C373" s="12" t="s">
        <v>124</v>
      </c>
      <c r="D373" s="56">
        <f>(D371-D372)/(D369-D370)</f>
        <v>0.52234578457119751</v>
      </c>
      <c r="I373" s="2" t="s">
        <v>115</v>
      </c>
      <c r="J373" s="26"/>
    </row>
    <row r="374" spans="3:10" hidden="1" outlineLevel="1" x14ac:dyDescent="0.35">
      <c r="C374" s="12" t="s">
        <v>87</v>
      </c>
      <c r="D374" s="56">
        <f>(D372-D370*D373)*EXP(-$D$272*($G$274/$D$275))</f>
        <v>-4.7290147657487536</v>
      </c>
      <c r="G374" s="2" t="s">
        <v>195</v>
      </c>
      <c r="I374" s="4" t="s">
        <v>139</v>
      </c>
      <c r="J374" s="6">
        <f>J307</f>
        <v>9.7397631777586113</v>
      </c>
    </row>
    <row r="375" spans="3:10" hidden="1" outlineLevel="1" x14ac:dyDescent="0.35">
      <c r="C375" s="12" t="s">
        <v>91</v>
      </c>
      <c r="D375" s="38">
        <f>D308</f>
        <v>10</v>
      </c>
      <c r="G375" s="4" t="s">
        <v>89</v>
      </c>
      <c r="H375" s="6">
        <f>$D$270</f>
        <v>10</v>
      </c>
      <c r="I375" s="12" t="s">
        <v>162</v>
      </c>
      <c r="J375" s="15">
        <f>IF(J374&gt;$D$270,J374-$D$270,0)</f>
        <v>0</v>
      </c>
    </row>
    <row r="376" spans="3:10" hidden="1" outlineLevel="1" x14ac:dyDescent="0.35">
      <c r="C376" s="12" t="s">
        <v>182</v>
      </c>
      <c r="D376" s="31">
        <f>D375*D373+D374</f>
        <v>0.49444307996322134</v>
      </c>
      <c r="G376" s="4" t="s">
        <v>139</v>
      </c>
      <c r="H376" s="6">
        <f>J374</f>
        <v>9.7397631777586113</v>
      </c>
      <c r="J376" s="26"/>
    </row>
    <row r="377" spans="3:10" hidden="1" outlineLevel="1" x14ac:dyDescent="0.35">
      <c r="C377" s="25"/>
      <c r="E377" s="2" t="s">
        <v>98</v>
      </c>
      <c r="G377" s="4" t="s">
        <v>140</v>
      </c>
      <c r="H377" s="6">
        <f>J383</f>
        <v>8.1444064360721704</v>
      </c>
      <c r="J377" s="26"/>
    </row>
    <row r="378" spans="3:10" hidden="1" outlineLevel="1" x14ac:dyDescent="0.35">
      <c r="C378" s="25"/>
      <c r="E378" s="58" t="s">
        <v>203</v>
      </c>
      <c r="F378" s="59"/>
      <c r="G378" s="4" t="s">
        <v>162</v>
      </c>
      <c r="H378" s="6">
        <f>J375</f>
        <v>0</v>
      </c>
      <c r="J378" s="26"/>
    </row>
    <row r="379" spans="3:10" hidden="1" outlineLevel="1" x14ac:dyDescent="0.35">
      <c r="C379" s="25"/>
      <c r="E379" s="4" t="s">
        <v>89</v>
      </c>
      <c r="F379" s="6">
        <f>$D$270</f>
        <v>10</v>
      </c>
      <c r="G379" s="4" t="s">
        <v>163</v>
      </c>
      <c r="H379" s="6">
        <f>J384</f>
        <v>0</v>
      </c>
      <c r="J379" s="26"/>
    </row>
    <row r="380" spans="3:10" hidden="1" outlineLevel="1" x14ac:dyDescent="0.35">
      <c r="C380" s="25"/>
      <c r="E380" s="4" t="s">
        <v>153</v>
      </c>
      <c r="F380" s="6">
        <f>D303</f>
        <v>9.1444064360721704</v>
      </c>
      <c r="G380" s="12" t="s">
        <v>124</v>
      </c>
      <c r="H380" s="56">
        <f>(H378-H379)/(H376-H377)</f>
        <v>0</v>
      </c>
      <c r="J380" s="26"/>
    </row>
    <row r="381" spans="3:10" hidden="1" outlineLevel="1" x14ac:dyDescent="0.35">
      <c r="C381" s="25"/>
      <c r="E381" s="12" t="s">
        <v>180</v>
      </c>
      <c r="F381" s="15">
        <f>IF(F380&gt;$D$270,F380-$D$270,0)</f>
        <v>0</v>
      </c>
      <c r="G381" s="12" t="s">
        <v>87</v>
      </c>
      <c r="H381" s="56">
        <f>(H379-H377*H380)*EXP(-$D$272*($G$274/$D$275))</f>
        <v>0</v>
      </c>
      <c r="J381" s="26"/>
    </row>
    <row r="382" spans="3:10" hidden="1" outlineLevel="1" x14ac:dyDescent="0.35">
      <c r="C382" s="25"/>
      <c r="E382" s="58" t="s">
        <v>269</v>
      </c>
      <c r="F382" s="59"/>
      <c r="G382" s="12" t="s">
        <v>143</v>
      </c>
      <c r="H382" s="38">
        <f>H315</f>
        <v>8.9064353088514583</v>
      </c>
      <c r="I382" s="2" t="s">
        <v>116</v>
      </c>
      <c r="J382" s="26"/>
    </row>
    <row r="383" spans="3:10" hidden="1" outlineLevel="1" x14ac:dyDescent="0.35">
      <c r="C383" s="25"/>
      <c r="E383" s="4" t="s">
        <v>89</v>
      </c>
      <c r="F383" s="6">
        <f>$D$270</f>
        <v>10</v>
      </c>
      <c r="G383" s="12" t="s">
        <v>164</v>
      </c>
      <c r="H383" s="15">
        <f>H382*H380+H381</f>
        <v>0</v>
      </c>
      <c r="I383" s="4" t="s">
        <v>140</v>
      </c>
      <c r="J383" s="6">
        <f>J316</f>
        <v>8.1444064360721704</v>
      </c>
    </row>
    <row r="384" spans="3:10" hidden="1" outlineLevel="1" x14ac:dyDescent="0.35">
      <c r="C384" s="25"/>
      <c r="E384" s="4" t="s">
        <v>143</v>
      </c>
      <c r="F384" s="6">
        <f>H382</f>
        <v>8.9064353088514583</v>
      </c>
      <c r="I384" s="12" t="s">
        <v>163</v>
      </c>
      <c r="J384" s="15">
        <f>IF(J383&gt;$D$270,J383-$D$270,0)</f>
        <v>0</v>
      </c>
    </row>
    <row r="385" spans="2:10" hidden="1" outlineLevel="1" x14ac:dyDescent="0.35">
      <c r="C385" s="25"/>
      <c r="E385" s="4" t="s">
        <v>149</v>
      </c>
      <c r="F385" s="6">
        <f>H395</f>
        <v>7.4475762632005962</v>
      </c>
      <c r="J385" s="26"/>
    </row>
    <row r="386" spans="2:10" hidden="1" outlineLevel="1" x14ac:dyDescent="0.35">
      <c r="C386" s="25"/>
      <c r="E386" s="4" t="s">
        <v>164</v>
      </c>
      <c r="F386" s="6">
        <f>H383</f>
        <v>0</v>
      </c>
      <c r="I386" s="2" t="s">
        <v>117</v>
      </c>
      <c r="J386" s="26"/>
    </row>
    <row r="387" spans="2:10" hidden="1" outlineLevel="1" x14ac:dyDescent="0.35">
      <c r="C387" s="25"/>
      <c r="E387" s="4" t="s">
        <v>167</v>
      </c>
      <c r="F387" s="6">
        <f>H396</f>
        <v>0</v>
      </c>
      <c r="G387" s="2" t="s">
        <v>196</v>
      </c>
      <c r="I387" s="4" t="s">
        <v>145</v>
      </c>
      <c r="J387" s="6">
        <f>J320</f>
        <v>8.1444064360721704</v>
      </c>
    </row>
    <row r="388" spans="2:10" hidden="1" outlineLevel="1" x14ac:dyDescent="0.35">
      <c r="C388" s="25"/>
      <c r="E388" s="12" t="s">
        <v>124</v>
      </c>
      <c r="F388" s="56">
        <f>(F386-F387)/(F384-F385)</f>
        <v>0</v>
      </c>
      <c r="G388" s="4" t="s">
        <v>89</v>
      </c>
      <c r="H388" s="6">
        <f>$D$270</f>
        <v>10</v>
      </c>
      <c r="I388" s="12" t="s">
        <v>165</v>
      </c>
      <c r="J388" s="15">
        <f>IF(J387&gt;$D$81,J387-$D$81,0)</f>
        <v>0</v>
      </c>
    </row>
    <row r="389" spans="2:10" hidden="1" outlineLevel="1" x14ac:dyDescent="0.35">
      <c r="C389" s="25"/>
      <c r="E389" s="12" t="s">
        <v>87</v>
      </c>
      <c r="F389" s="56">
        <f>(F387-F385*F388)*EXP(-$D$272*($G$274/$D$275))</f>
        <v>0</v>
      </c>
      <c r="G389" s="4" t="s">
        <v>145</v>
      </c>
      <c r="H389" s="6">
        <f>J387</f>
        <v>8.1444064360721704</v>
      </c>
      <c r="J389" s="26"/>
    </row>
    <row r="390" spans="2:10" hidden="1" outlineLevel="1" x14ac:dyDescent="0.35">
      <c r="C390" s="25"/>
      <c r="E390" s="12" t="s">
        <v>192</v>
      </c>
      <c r="F390" s="38">
        <f>F322</f>
        <v>8.1444064360721704</v>
      </c>
      <c r="G390" s="4" t="s">
        <v>146</v>
      </c>
      <c r="H390" s="6">
        <f>J396</f>
        <v>6.8103664314349857</v>
      </c>
      <c r="J390" s="26"/>
    </row>
    <row r="391" spans="2:10" hidden="1" outlineLevel="1" x14ac:dyDescent="0.35">
      <c r="C391" s="25"/>
      <c r="E391" s="12" t="s">
        <v>169</v>
      </c>
      <c r="F391" s="15">
        <f>F390*F388+F389</f>
        <v>0</v>
      </c>
      <c r="G391" s="4" t="s">
        <v>165</v>
      </c>
      <c r="H391" s="6">
        <f>J388</f>
        <v>0</v>
      </c>
      <c r="J391" s="26"/>
    </row>
    <row r="392" spans="2:10" hidden="1" outlineLevel="1" x14ac:dyDescent="0.35">
      <c r="C392" s="25"/>
      <c r="E392" s="69" t="s">
        <v>275</v>
      </c>
      <c r="F392" s="70"/>
      <c r="G392" s="4" t="s">
        <v>166</v>
      </c>
      <c r="H392" s="6">
        <f>J397</f>
        <v>0</v>
      </c>
      <c r="J392" s="26"/>
    </row>
    <row r="393" spans="2:10" hidden="1" outlineLevel="1" x14ac:dyDescent="0.35">
      <c r="C393" s="25"/>
      <c r="E393" s="71"/>
      <c r="F393" s="72"/>
      <c r="G393" s="12" t="s">
        <v>124</v>
      </c>
      <c r="H393" s="56">
        <f>(H391-H392)/(H389-H390)</f>
        <v>0</v>
      </c>
      <c r="J393" s="26"/>
    </row>
    <row r="394" spans="2:10" hidden="1" outlineLevel="1" x14ac:dyDescent="0.35">
      <c r="C394" s="25"/>
      <c r="G394" s="12" t="s">
        <v>87</v>
      </c>
      <c r="H394" s="56">
        <f>(H392-H390*H393)*EXP(-$D$272*($G$274/$D$275))</f>
        <v>0</v>
      </c>
      <c r="J394" s="26"/>
    </row>
    <row r="395" spans="2:10" hidden="1" outlineLevel="1" x14ac:dyDescent="0.35">
      <c r="C395" s="25"/>
      <c r="G395" s="12" t="s">
        <v>149</v>
      </c>
      <c r="H395" s="38">
        <f>H328</f>
        <v>7.4475762632005962</v>
      </c>
      <c r="I395" s="2" t="s">
        <v>118</v>
      </c>
      <c r="J395" s="26"/>
    </row>
    <row r="396" spans="2:10" hidden="1" outlineLevel="1" x14ac:dyDescent="0.35">
      <c r="C396" s="25"/>
      <c r="G396" s="12" t="s">
        <v>167</v>
      </c>
      <c r="H396" s="15">
        <f>H395*H393+H394</f>
        <v>0</v>
      </c>
      <c r="I396" s="4" t="s">
        <v>146</v>
      </c>
      <c r="J396" s="6">
        <f>J329</f>
        <v>6.8103664314349857</v>
      </c>
    </row>
    <row r="397" spans="2:10" hidden="1" outlineLevel="1" x14ac:dyDescent="0.35">
      <c r="C397" s="28"/>
      <c r="D397" s="29"/>
      <c r="E397" s="29"/>
      <c r="F397" s="29"/>
      <c r="G397" s="29"/>
      <c r="H397" s="29"/>
      <c r="I397" s="12" t="s">
        <v>166</v>
      </c>
      <c r="J397" s="15">
        <f>IF(J396&gt;$D$270,J396-$D$270,0)</f>
        <v>0</v>
      </c>
    </row>
    <row r="398" spans="2:10" collapsed="1" x14ac:dyDescent="0.35"/>
    <row r="400" spans="2:10" x14ac:dyDescent="0.35">
      <c r="B400" s="16" t="s">
        <v>17</v>
      </c>
      <c r="C400" s="1" t="s">
        <v>48</v>
      </c>
    </row>
    <row r="401" spans="2:7" x14ac:dyDescent="0.35">
      <c r="C401" s="1" t="s">
        <v>49</v>
      </c>
    </row>
    <row r="402" spans="2:7" x14ac:dyDescent="0.35">
      <c r="C402" s="1" t="s">
        <v>50</v>
      </c>
    </row>
    <row r="403" spans="2:7" x14ac:dyDescent="0.35">
      <c r="C403" s="1" t="s">
        <v>51</v>
      </c>
    </row>
    <row r="404" spans="2:7" x14ac:dyDescent="0.35">
      <c r="C404" s="1" t="s">
        <v>52</v>
      </c>
    </row>
    <row r="405" spans="2:7" x14ac:dyDescent="0.35">
      <c r="C405" s="1" t="s">
        <v>53</v>
      </c>
    </row>
    <row r="407" spans="2:7" x14ac:dyDescent="0.35">
      <c r="B407" s="2" t="s">
        <v>7</v>
      </c>
      <c r="C407" s="1" t="s">
        <v>54</v>
      </c>
    </row>
    <row r="408" spans="2:7" hidden="1" outlineLevel="1" x14ac:dyDescent="0.35"/>
    <row r="409" spans="2:7" hidden="1" outlineLevel="1" x14ac:dyDescent="0.35">
      <c r="C409" s="4" t="s">
        <v>91</v>
      </c>
      <c r="D409" s="6">
        <v>39</v>
      </c>
      <c r="F409" s="4" t="s">
        <v>206</v>
      </c>
      <c r="G409" s="6">
        <v>993.77</v>
      </c>
    </row>
    <row r="410" spans="2:7" hidden="1" outlineLevel="1" x14ac:dyDescent="0.35">
      <c r="C410" s="4" t="s">
        <v>89</v>
      </c>
      <c r="D410" s="6">
        <v>40</v>
      </c>
      <c r="F410" s="4" t="s">
        <v>207</v>
      </c>
      <c r="G410" s="7">
        <f>(1000/G409)-1</f>
        <v>6.2690562202520894E-3</v>
      </c>
    </row>
    <row r="411" spans="2:7" hidden="1" outlineLevel="1" x14ac:dyDescent="0.35">
      <c r="C411" s="4" t="s">
        <v>204</v>
      </c>
      <c r="D411" s="23">
        <v>3</v>
      </c>
    </row>
    <row r="412" spans="2:7" hidden="1" outlineLevel="1" x14ac:dyDescent="0.35">
      <c r="C412" s="4" t="s">
        <v>205</v>
      </c>
      <c r="D412" s="9">
        <v>0.18</v>
      </c>
    </row>
    <row r="413" spans="2:7" hidden="1" outlineLevel="1" x14ac:dyDescent="0.35"/>
    <row r="414" spans="2:7" hidden="1" outlineLevel="1" x14ac:dyDescent="0.35">
      <c r="C414" s="4" t="s">
        <v>93</v>
      </c>
      <c r="D414" s="6">
        <f>D410*EXP(-G410)</f>
        <v>39.750022132541559</v>
      </c>
    </row>
    <row r="415" spans="2:7" hidden="1" outlineLevel="1" x14ac:dyDescent="0.35"/>
    <row r="416" spans="2:7" hidden="1" outlineLevel="1" x14ac:dyDescent="0.35">
      <c r="C416" s="4" t="s">
        <v>197</v>
      </c>
      <c r="D416" s="32">
        <f>LN(D409/D414)/(D412*SQRT(D411/12))+(D412*SQRT(D411/12))/2</f>
        <v>-0.1666527973781976</v>
      </c>
    </row>
    <row r="417" spans="2:7" hidden="1" outlineLevel="1" x14ac:dyDescent="0.35">
      <c r="C417" s="4" t="s">
        <v>198</v>
      </c>
      <c r="D417" s="33">
        <f>_xlfn.NORM.DIST(D416,0,1,TRUE)</f>
        <v>0.43382162412432068</v>
      </c>
    </row>
    <row r="418" spans="2:7" hidden="1" outlineLevel="1" x14ac:dyDescent="0.35">
      <c r="C418" s="4" t="s">
        <v>199</v>
      </c>
      <c r="D418" s="32">
        <f>D416-D412*SQRT(D411/12)</f>
        <v>-0.25665279737819757</v>
      </c>
    </row>
    <row r="419" spans="2:7" hidden="1" outlineLevel="1" x14ac:dyDescent="0.35">
      <c r="C419" s="4" t="s">
        <v>200</v>
      </c>
      <c r="D419" s="32">
        <f>_xlfn.NORM.DIST(D418,0,1,TRUE)</f>
        <v>0.39872340667738126</v>
      </c>
    </row>
    <row r="420" spans="2:7" hidden="1" outlineLevel="1" x14ac:dyDescent="0.35"/>
    <row r="421" spans="2:7" hidden="1" outlineLevel="1" x14ac:dyDescent="0.35">
      <c r="C421" s="12" t="s">
        <v>170</v>
      </c>
      <c r="D421" s="31">
        <f>D409*D417-D414*D419</f>
        <v>1.0697791006602326</v>
      </c>
    </row>
    <row r="422" spans="2:7" collapsed="1" x14ac:dyDescent="0.35"/>
    <row r="423" spans="2:7" x14ac:dyDescent="0.35">
      <c r="B423" s="2" t="s">
        <v>6</v>
      </c>
      <c r="C423" s="1" t="s">
        <v>55</v>
      </c>
    </row>
    <row r="424" spans="2:7" hidden="1" outlineLevel="1" x14ac:dyDescent="0.35"/>
    <row r="425" spans="2:7" hidden="1" outlineLevel="1" x14ac:dyDescent="0.35">
      <c r="C425" s="4" t="s">
        <v>91</v>
      </c>
      <c r="D425" s="6">
        <v>39</v>
      </c>
      <c r="G425" s="24"/>
    </row>
    <row r="426" spans="2:7" hidden="1" outlineLevel="1" x14ac:dyDescent="0.35">
      <c r="C426" s="4" t="s">
        <v>89</v>
      </c>
      <c r="D426" s="6">
        <v>40</v>
      </c>
      <c r="G426" s="37"/>
    </row>
    <row r="427" spans="2:7" hidden="1" outlineLevel="1" x14ac:dyDescent="0.35">
      <c r="C427" s="4" t="s">
        <v>208</v>
      </c>
      <c r="D427" s="7">
        <v>0.02</v>
      </c>
      <c r="G427" s="37"/>
    </row>
    <row r="428" spans="2:7" hidden="1" outlineLevel="1" x14ac:dyDescent="0.35">
      <c r="C428" s="4" t="s">
        <v>204</v>
      </c>
      <c r="D428" s="23">
        <v>3</v>
      </c>
    </row>
    <row r="429" spans="2:7" hidden="1" outlineLevel="1" x14ac:dyDescent="0.35">
      <c r="C429" s="4" t="s">
        <v>205</v>
      </c>
      <c r="D429" s="9">
        <v>0.18</v>
      </c>
    </row>
    <row r="430" spans="2:7" hidden="1" outlineLevel="1" x14ac:dyDescent="0.35"/>
    <row r="431" spans="2:7" hidden="1" outlineLevel="1" x14ac:dyDescent="0.35">
      <c r="C431" s="4" t="s">
        <v>201</v>
      </c>
      <c r="D431" s="6">
        <f>D425*EXP(-D427*(D428/12))</f>
        <v>38.805486688514613</v>
      </c>
    </row>
    <row r="432" spans="2:7" hidden="1" outlineLevel="1" x14ac:dyDescent="0.35">
      <c r="C432" s="4" t="s">
        <v>93</v>
      </c>
      <c r="D432" s="6">
        <f>D426*EXP(-G410)</f>
        <v>39.750022132541559</v>
      </c>
    </row>
    <row r="433" spans="2:7" hidden="1" outlineLevel="1" x14ac:dyDescent="0.35"/>
    <row r="434" spans="2:7" hidden="1" outlineLevel="1" x14ac:dyDescent="0.35">
      <c r="C434" s="4" t="s">
        <v>197</v>
      </c>
      <c r="D434" s="32">
        <f>LN(D431/D432)/(D429*SQRT(D428/12))+(D429*SQRT(D428/12))/2</f>
        <v>-0.22220835293375241</v>
      </c>
    </row>
    <row r="435" spans="2:7" hidden="1" outlineLevel="1" x14ac:dyDescent="0.35">
      <c r="C435" s="4" t="s">
        <v>198</v>
      </c>
      <c r="D435" s="33">
        <f>_xlfn.NORM.DIST(D434,0,1,TRUE)</f>
        <v>0.41207584597927205</v>
      </c>
    </row>
    <row r="436" spans="2:7" hidden="1" outlineLevel="1" x14ac:dyDescent="0.35">
      <c r="C436" s="4" t="s">
        <v>199</v>
      </c>
      <c r="D436" s="32">
        <f>D434-D429*SQRT(D428/12)</f>
        <v>-0.31220835293375238</v>
      </c>
    </row>
    <row r="437" spans="2:7" hidden="1" outlineLevel="1" x14ac:dyDescent="0.35">
      <c r="C437" s="4" t="s">
        <v>200</v>
      </c>
      <c r="D437" s="32">
        <f>_xlfn.NORM.DIST(D436,0,1,TRUE)</f>
        <v>0.37744109222449806</v>
      </c>
    </row>
    <row r="438" spans="2:7" hidden="1" outlineLevel="1" x14ac:dyDescent="0.35"/>
    <row r="439" spans="2:7" hidden="1" outlineLevel="1" x14ac:dyDescent="0.35">
      <c r="C439" s="12" t="s">
        <v>170</v>
      </c>
      <c r="D439" s="31">
        <f>D431*D435-D432*D437</f>
        <v>0.9875119861525814</v>
      </c>
    </row>
    <row r="440" spans="2:7" hidden="1" outlineLevel="1" x14ac:dyDescent="0.35">
      <c r="C440" s="12" t="s">
        <v>155</v>
      </c>
      <c r="D440" s="31">
        <f>D431*(D435-1)+D432*(1-D437)</f>
        <v>1.9320474301795301</v>
      </c>
      <c r="E440" s="8" t="s">
        <v>209</v>
      </c>
    </row>
    <row r="441" spans="2:7" hidden="1" outlineLevel="1" x14ac:dyDescent="0.35">
      <c r="C441" s="12" t="s">
        <v>155</v>
      </c>
      <c r="D441" s="31">
        <f>D439+D432-D431</f>
        <v>1.9320474301795301</v>
      </c>
      <c r="E441" s="8" t="s">
        <v>210</v>
      </c>
      <c r="F441" s="8" t="s">
        <v>86</v>
      </c>
      <c r="G441" s="1" t="s">
        <v>211</v>
      </c>
    </row>
    <row r="442" spans="2:7" collapsed="1" x14ac:dyDescent="0.35"/>
    <row r="444" spans="2:7" x14ac:dyDescent="0.35">
      <c r="B444" s="16" t="s">
        <v>12</v>
      </c>
      <c r="C444" s="1" t="s">
        <v>56</v>
      </c>
    </row>
    <row r="445" spans="2:7" x14ac:dyDescent="0.35">
      <c r="C445" s="1" t="s">
        <v>57</v>
      </c>
    </row>
    <row r="446" spans="2:7" x14ac:dyDescent="0.35">
      <c r="C446" s="1" t="s">
        <v>58</v>
      </c>
    </row>
    <row r="447" spans="2:7" x14ac:dyDescent="0.35">
      <c r="B447" s="2"/>
      <c r="C447" s="1" t="s">
        <v>59</v>
      </c>
    </row>
    <row r="448" spans="2:7" hidden="1" outlineLevel="1" x14ac:dyDescent="0.35"/>
    <row r="449" spans="3:6" hidden="1" outlineLevel="1" x14ac:dyDescent="0.35">
      <c r="C449" s="4" t="s">
        <v>91</v>
      </c>
      <c r="D449" s="6">
        <v>15</v>
      </c>
    </row>
    <row r="450" spans="3:6" hidden="1" outlineLevel="1" x14ac:dyDescent="0.35">
      <c r="C450" s="4" t="s">
        <v>215</v>
      </c>
      <c r="D450" s="10">
        <v>0.02</v>
      </c>
    </row>
    <row r="451" spans="3:6" hidden="1" outlineLevel="1" x14ac:dyDescent="0.35">
      <c r="C451" s="4" t="s">
        <v>216</v>
      </c>
      <c r="D451" s="10">
        <v>0.04</v>
      </c>
    </row>
    <row r="452" spans="3:6" hidden="1" outlineLevel="1" x14ac:dyDescent="0.35"/>
    <row r="453" spans="3:6" hidden="1" outlineLevel="1" x14ac:dyDescent="0.35">
      <c r="C453" s="4" t="s">
        <v>212</v>
      </c>
      <c r="D453" s="6">
        <v>3</v>
      </c>
    </row>
    <row r="454" spans="3:6" hidden="1" outlineLevel="1" x14ac:dyDescent="0.35">
      <c r="C454" s="4" t="s">
        <v>213</v>
      </c>
      <c r="D454" s="9">
        <v>0.7</v>
      </c>
    </row>
    <row r="455" spans="3:6" hidden="1" outlineLevel="1" x14ac:dyDescent="0.35">
      <c r="C455" s="4" t="s">
        <v>281</v>
      </c>
      <c r="D455" s="6">
        <f>$D$449+D453</f>
        <v>18</v>
      </c>
    </row>
    <row r="456" spans="3:6" hidden="1" outlineLevel="1" x14ac:dyDescent="0.35">
      <c r="C456" s="4" t="s">
        <v>217</v>
      </c>
      <c r="D456" s="6">
        <v>-3</v>
      </c>
    </row>
    <row r="457" spans="3:6" hidden="1" outlineLevel="1" x14ac:dyDescent="0.35">
      <c r="C457" s="4" t="s">
        <v>218</v>
      </c>
      <c r="D457" s="9">
        <f>1-D454</f>
        <v>0.30000000000000004</v>
      </c>
    </row>
    <row r="458" spans="3:6" hidden="1" outlineLevel="1" x14ac:dyDescent="0.35">
      <c r="C458" s="4" t="s">
        <v>282</v>
      </c>
      <c r="D458" s="6">
        <f>$D$449+D456</f>
        <v>12</v>
      </c>
    </row>
    <row r="459" spans="3:6" hidden="1" outlineLevel="1" x14ac:dyDescent="0.35"/>
    <row r="460" spans="3:6" hidden="1" outlineLevel="1" x14ac:dyDescent="0.35"/>
    <row r="461" spans="3:6" hidden="1" outlineLevel="1" x14ac:dyDescent="0.35">
      <c r="C461" s="68" t="s">
        <v>106</v>
      </c>
      <c r="D461" s="68"/>
      <c r="E461" s="68" t="s">
        <v>107</v>
      </c>
      <c r="F461" s="68"/>
    </row>
    <row r="462" spans="3:6" hidden="1" outlineLevel="1" x14ac:dyDescent="0.35">
      <c r="C462" s="60"/>
      <c r="D462" s="61"/>
      <c r="E462" s="62" t="s">
        <v>108</v>
      </c>
      <c r="F462" s="63"/>
    </row>
    <row r="463" spans="3:6" hidden="1" outlineLevel="1" x14ac:dyDescent="0.35">
      <c r="C463" s="25"/>
      <c r="E463" s="4" t="s">
        <v>151</v>
      </c>
      <c r="F463" s="6">
        <f>D455</f>
        <v>18</v>
      </c>
    </row>
    <row r="464" spans="3:6" hidden="1" outlineLevel="1" x14ac:dyDescent="0.35">
      <c r="C464" s="57" t="s">
        <v>280</v>
      </c>
      <c r="E464" s="12" t="s">
        <v>152</v>
      </c>
      <c r="F464" s="15">
        <f>IF(F463&lt;$D$465,$D$465-F463,0)</f>
        <v>0</v>
      </c>
    </row>
    <row r="465" spans="2:10" hidden="1" outlineLevel="1" x14ac:dyDescent="0.35">
      <c r="C465" s="4" t="s">
        <v>89</v>
      </c>
      <c r="D465" s="6">
        <v>15</v>
      </c>
      <c r="F465" s="27"/>
    </row>
    <row r="466" spans="2:10" hidden="1" outlineLevel="1" x14ac:dyDescent="0.35">
      <c r="C466" s="4" t="s">
        <v>151</v>
      </c>
      <c r="D466" s="6">
        <f>F463</f>
        <v>18</v>
      </c>
      <c r="F466" s="27"/>
    </row>
    <row r="467" spans="2:10" hidden="1" outlineLevel="1" x14ac:dyDescent="0.35">
      <c r="C467" s="4" t="s">
        <v>153</v>
      </c>
      <c r="D467" s="6">
        <f>F473</f>
        <v>12</v>
      </c>
      <c r="F467" s="27"/>
    </row>
    <row r="468" spans="2:10" hidden="1" outlineLevel="1" x14ac:dyDescent="0.35">
      <c r="C468" s="4" t="s">
        <v>152</v>
      </c>
      <c r="D468" s="6">
        <f>F464</f>
        <v>0</v>
      </c>
      <c r="F468" s="27"/>
    </row>
    <row r="469" spans="2:10" hidden="1" outlineLevel="1" x14ac:dyDescent="0.35">
      <c r="C469" s="4" t="s">
        <v>154</v>
      </c>
      <c r="D469" s="6">
        <f>F474</f>
        <v>3</v>
      </c>
      <c r="F469" s="27"/>
      <c r="J469" s="24"/>
    </row>
    <row r="470" spans="2:10" hidden="1" outlineLevel="1" x14ac:dyDescent="0.35">
      <c r="C470" s="12" t="s">
        <v>124</v>
      </c>
      <c r="D470" s="56">
        <f>(D468-D469)/(D466-D467)</f>
        <v>-0.5</v>
      </c>
      <c r="F470" s="27"/>
    </row>
    <row r="471" spans="2:10" hidden="1" outlineLevel="1" x14ac:dyDescent="0.35">
      <c r="C471" s="12" t="s">
        <v>87</v>
      </c>
      <c r="D471" s="56">
        <f>(D469-D467*D470)/(1+D450)</f>
        <v>8.8235294117647065</v>
      </c>
      <c r="F471" s="27"/>
    </row>
    <row r="472" spans="2:10" hidden="1" outlineLevel="1" x14ac:dyDescent="0.35">
      <c r="C472" s="12" t="s">
        <v>91</v>
      </c>
      <c r="D472" s="38">
        <f>D449</f>
        <v>15</v>
      </c>
      <c r="E472" s="2" t="s">
        <v>98</v>
      </c>
      <c r="F472" s="27"/>
    </row>
    <row r="473" spans="2:10" hidden="1" outlineLevel="1" x14ac:dyDescent="0.35">
      <c r="C473" s="12" t="s">
        <v>90</v>
      </c>
      <c r="D473" s="31">
        <f>D472*D470+D471</f>
        <v>1.3235294117647065</v>
      </c>
      <c r="E473" s="4" t="s">
        <v>153</v>
      </c>
      <c r="F473" s="6">
        <f>D458</f>
        <v>12</v>
      </c>
    </row>
    <row r="474" spans="2:10" hidden="1" outlineLevel="1" x14ac:dyDescent="0.35">
      <c r="C474" s="28"/>
      <c r="D474" s="29"/>
      <c r="E474" s="12" t="s">
        <v>154</v>
      </c>
      <c r="F474" s="15">
        <f>IF(F473&lt;$D$465,$D$465-F473,0)</f>
        <v>3</v>
      </c>
    </row>
    <row r="475" spans="2:10" hidden="1" outlineLevel="1" x14ac:dyDescent="0.35"/>
    <row r="476" spans="2:10" collapsed="1" x14ac:dyDescent="0.35"/>
    <row r="478" spans="2:10" x14ac:dyDescent="0.35">
      <c r="B478" s="16" t="s">
        <v>13</v>
      </c>
      <c r="C478" s="1" t="s">
        <v>60</v>
      </c>
    </row>
    <row r="479" spans="2:10" x14ac:dyDescent="0.35">
      <c r="C479" s="1" t="s">
        <v>61</v>
      </c>
    </row>
    <row r="480" spans="2:10" x14ac:dyDescent="0.35">
      <c r="C480" s="1" t="s">
        <v>62</v>
      </c>
    </row>
    <row r="481" spans="2:7" x14ac:dyDescent="0.35">
      <c r="C481" s="1" t="s">
        <v>63</v>
      </c>
    </row>
    <row r="482" spans="2:7" x14ac:dyDescent="0.35">
      <c r="C482" s="1" t="s">
        <v>64</v>
      </c>
    </row>
    <row r="483" spans="2:7" x14ac:dyDescent="0.35">
      <c r="C483" s="1" t="s">
        <v>65</v>
      </c>
    </row>
    <row r="485" spans="2:7" x14ac:dyDescent="0.35">
      <c r="B485" s="2" t="s">
        <v>7</v>
      </c>
      <c r="C485" s="1" t="s">
        <v>66</v>
      </c>
    </row>
    <row r="486" spans="2:7" x14ac:dyDescent="0.35">
      <c r="C486" s="1" t="s">
        <v>67</v>
      </c>
    </row>
    <row r="487" spans="2:7" hidden="1" outlineLevel="1" x14ac:dyDescent="0.35"/>
    <row r="488" spans="2:7" hidden="1" outlineLevel="1" x14ac:dyDescent="0.35">
      <c r="C488" s="4" t="s">
        <v>91</v>
      </c>
      <c r="D488" s="6">
        <v>60</v>
      </c>
    </row>
    <row r="489" spans="2:7" hidden="1" outlineLevel="1" x14ac:dyDescent="0.35">
      <c r="C489" s="4" t="s">
        <v>215</v>
      </c>
      <c r="D489" s="10">
        <v>4.4999999999999998E-2</v>
      </c>
      <c r="E489" s="1" t="s">
        <v>220</v>
      </c>
    </row>
    <row r="490" spans="2:7" hidden="1" outlineLevel="1" x14ac:dyDescent="0.35"/>
    <row r="491" spans="2:7" hidden="1" outlineLevel="1" x14ac:dyDescent="0.35">
      <c r="C491" s="14" t="s">
        <v>172</v>
      </c>
      <c r="D491" s="6">
        <v>2.5</v>
      </c>
      <c r="E491" s="8" t="s">
        <v>184</v>
      </c>
      <c r="F491" s="5">
        <v>1</v>
      </c>
      <c r="G491" s="8" t="s">
        <v>223</v>
      </c>
    </row>
    <row r="492" spans="2:7" hidden="1" outlineLevel="1" x14ac:dyDescent="0.35"/>
    <row r="493" spans="2:7" hidden="1" outlineLevel="1" x14ac:dyDescent="0.35"/>
    <row r="494" spans="2:7" hidden="1" outlineLevel="1" x14ac:dyDescent="0.35">
      <c r="C494" s="14" t="s">
        <v>221</v>
      </c>
      <c r="D494" s="5">
        <v>1.0209999999999999</v>
      </c>
      <c r="E494" s="8" t="s">
        <v>222</v>
      </c>
    </row>
    <row r="495" spans="2:7" hidden="1" outlineLevel="1" x14ac:dyDescent="0.35">
      <c r="C495" s="12" t="s">
        <v>224</v>
      </c>
      <c r="D495" s="39">
        <f>LN(D494)/SQRT(F491/12)</f>
        <v>7.1992827548860341E-2</v>
      </c>
      <c r="E495" s="8" t="s">
        <v>227</v>
      </c>
    </row>
    <row r="496" spans="2:7" hidden="1" outlineLevel="1" x14ac:dyDescent="0.35">
      <c r="C496" s="14" t="s">
        <v>228</v>
      </c>
      <c r="D496" s="40">
        <f>EXP(-D495*SQRT(F491/12))</f>
        <v>0.97943192948090119</v>
      </c>
      <c r="E496" s="8"/>
    </row>
    <row r="497" spans="2:5" collapsed="1" x14ac:dyDescent="0.35"/>
    <row r="498" spans="2:5" x14ac:dyDescent="0.35">
      <c r="C498" s="1" t="s">
        <v>68</v>
      </c>
    </row>
    <row r="499" spans="2:5" x14ac:dyDescent="0.35">
      <c r="C499" s="1" t="s">
        <v>69</v>
      </c>
    </row>
    <row r="500" spans="2:5" x14ac:dyDescent="0.35">
      <c r="C500" s="1" t="s">
        <v>70</v>
      </c>
    </row>
    <row r="502" spans="2:5" x14ac:dyDescent="0.35">
      <c r="C502" s="4" t="s">
        <v>89</v>
      </c>
      <c r="D502" s="6">
        <v>55</v>
      </c>
    </row>
    <row r="503" spans="2:5" x14ac:dyDescent="0.35">
      <c r="C503" s="4" t="s">
        <v>225</v>
      </c>
      <c r="D503" s="5">
        <v>2</v>
      </c>
      <c r="E503" s="8" t="s">
        <v>226</v>
      </c>
    </row>
    <row r="505" spans="2:5" x14ac:dyDescent="0.35">
      <c r="B505" s="2" t="s">
        <v>6</v>
      </c>
      <c r="C505" s="1" t="s">
        <v>71</v>
      </c>
    </row>
    <row r="506" spans="2:5" hidden="1" outlineLevel="1" x14ac:dyDescent="0.35"/>
    <row r="507" spans="2:5" hidden="1" outlineLevel="1" x14ac:dyDescent="0.35">
      <c r="C507" s="4" t="s">
        <v>91</v>
      </c>
      <c r="D507" s="6">
        <f>D488</f>
        <v>60</v>
      </c>
    </row>
    <row r="508" spans="2:5" hidden="1" outlineLevel="1" x14ac:dyDescent="0.35">
      <c r="C508" s="14" t="s">
        <v>172</v>
      </c>
      <c r="D508" s="6">
        <f>D491</f>
        <v>2.5</v>
      </c>
    </row>
    <row r="509" spans="2:5" hidden="1" outlineLevel="1" x14ac:dyDescent="0.35">
      <c r="C509" s="4" t="s">
        <v>89</v>
      </c>
      <c r="D509" s="6">
        <f>D502</f>
        <v>55</v>
      </c>
    </row>
    <row r="510" spans="2:5" hidden="1" outlineLevel="1" x14ac:dyDescent="0.35"/>
    <row r="511" spans="2:5" hidden="1" outlineLevel="1" x14ac:dyDescent="0.35">
      <c r="C511" s="12" t="s">
        <v>232</v>
      </c>
      <c r="D511" s="15">
        <f>D507-D508*EXP(-D489*(F491/12))-D509*EXP(-D489*(D503/12))</f>
        <v>2.9203144287744607</v>
      </c>
    </row>
    <row r="512" spans="2:5" collapsed="1" x14ac:dyDescent="0.35"/>
    <row r="513" spans="2:12" x14ac:dyDescent="0.35">
      <c r="B513" s="2" t="s">
        <v>5</v>
      </c>
      <c r="C513" s="1" t="s">
        <v>72</v>
      </c>
    </row>
    <row r="514" spans="2:12" hidden="1" outlineLevel="1" x14ac:dyDescent="0.35"/>
    <row r="515" spans="2:12" hidden="1" outlineLevel="1" x14ac:dyDescent="0.35">
      <c r="C515" s="68" t="s">
        <v>106</v>
      </c>
      <c r="D515" s="68"/>
      <c r="E515" s="68" t="s">
        <v>107</v>
      </c>
      <c r="F515" s="68"/>
      <c r="G515" s="68" t="s">
        <v>121</v>
      </c>
      <c r="H515" s="68"/>
    </row>
    <row r="516" spans="2:12" hidden="1" outlineLevel="1" x14ac:dyDescent="0.35">
      <c r="C516" s="25"/>
      <c r="G516" s="2" t="s">
        <v>111</v>
      </c>
      <c r="H516" s="26"/>
    </row>
    <row r="517" spans="2:12" hidden="1" outlineLevel="1" x14ac:dyDescent="0.35">
      <c r="C517" s="25"/>
      <c r="E517" s="2" t="s">
        <v>108</v>
      </c>
      <c r="G517" s="4" t="s">
        <v>130</v>
      </c>
      <c r="H517" s="6">
        <f>F525*$D$494</f>
        <v>59.993959999999987</v>
      </c>
    </row>
    <row r="518" spans="2:12" hidden="1" outlineLevel="1" x14ac:dyDescent="0.35">
      <c r="C518" s="25"/>
      <c r="E518" s="4" t="s">
        <v>89</v>
      </c>
      <c r="F518" s="6">
        <f>$D$502</f>
        <v>55</v>
      </c>
      <c r="G518" s="12" t="s">
        <v>158</v>
      </c>
      <c r="H518" s="15">
        <f>IF(H517&gt;$D$502,H517-$D$502,0)</f>
        <v>4.9939599999999871</v>
      </c>
    </row>
    <row r="519" spans="2:12" hidden="1" outlineLevel="1" x14ac:dyDescent="0.35">
      <c r="C519" s="25"/>
      <c r="E519" s="4" t="s">
        <v>130</v>
      </c>
      <c r="F519" s="6">
        <f>H517</f>
        <v>59.993959999999987</v>
      </c>
      <c r="H519" s="27"/>
    </row>
    <row r="520" spans="2:12" hidden="1" outlineLevel="1" x14ac:dyDescent="0.35">
      <c r="C520" s="25"/>
      <c r="E520" s="4" t="s">
        <v>135</v>
      </c>
      <c r="F520" s="6">
        <f>H526</f>
        <v>57.551420176297746</v>
      </c>
      <c r="H520" s="27"/>
    </row>
    <row r="521" spans="2:12" hidden="1" outlineLevel="1" x14ac:dyDescent="0.35">
      <c r="C521" s="25"/>
      <c r="E521" s="4" t="s">
        <v>158</v>
      </c>
      <c r="F521" s="6">
        <f>H518</f>
        <v>4.9939599999999871</v>
      </c>
      <c r="H521" s="27"/>
    </row>
    <row r="522" spans="2:12" hidden="1" outlineLevel="1" x14ac:dyDescent="0.35">
      <c r="C522" s="25"/>
      <c r="E522" s="4" t="s">
        <v>161</v>
      </c>
      <c r="F522" s="6">
        <f>H527</f>
        <v>2.5514201762977464</v>
      </c>
      <c r="H522" s="27"/>
    </row>
    <row r="523" spans="2:12" hidden="1" outlineLevel="1" x14ac:dyDescent="0.35">
      <c r="C523" s="25"/>
      <c r="E523" s="4" t="s">
        <v>124</v>
      </c>
      <c r="F523" s="19">
        <f>(F521-F522)/(F519-F520)</f>
        <v>1</v>
      </c>
      <c r="H523" s="27"/>
      <c r="L523" s="24"/>
    </row>
    <row r="524" spans="2:12" hidden="1" outlineLevel="1" x14ac:dyDescent="0.35">
      <c r="C524" s="57" t="s">
        <v>277</v>
      </c>
      <c r="E524" s="4" t="s">
        <v>87</v>
      </c>
      <c r="F524" s="19">
        <f>(F522-F520*F523)*EXP(-$D$489*($F$491/12))</f>
        <v>-54.794136235804409</v>
      </c>
      <c r="H524" s="27"/>
      <c r="L524" s="24"/>
    </row>
    <row r="525" spans="2:12" hidden="1" outlineLevel="1" x14ac:dyDescent="0.35">
      <c r="C525" s="4" t="s">
        <v>89</v>
      </c>
      <c r="D525" s="6">
        <f>$D$502</f>
        <v>55</v>
      </c>
      <c r="E525" s="4" t="s">
        <v>230</v>
      </c>
      <c r="F525" s="6">
        <f>D526-D491</f>
        <v>58.759999999999991</v>
      </c>
      <c r="G525" s="2" t="s">
        <v>110</v>
      </c>
      <c r="H525" s="27"/>
    </row>
    <row r="526" spans="2:12" hidden="1" outlineLevel="1" x14ac:dyDescent="0.35">
      <c r="C526" s="4" t="s">
        <v>151</v>
      </c>
      <c r="D526" s="6">
        <f>D532*$D$494</f>
        <v>61.259999999999991</v>
      </c>
      <c r="E526" s="12" t="s">
        <v>168</v>
      </c>
      <c r="F526" s="31">
        <f>F525*F523+F524</f>
        <v>3.9658637641955821</v>
      </c>
      <c r="G526" s="4" t="s">
        <v>135</v>
      </c>
      <c r="H526" s="6">
        <f>F525*$D$496</f>
        <v>57.551420176297746</v>
      </c>
    </row>
    <row r="527" spans="2:12" hidden="1" outlineLevel="1" x14ac:dyDescent="0.35">
      <c r="C527" s="4" t="s">
        <v>153</v>
      </c>
      <c r="D527" s="6">
        <f>D532*$D$496</f>
        <v>58.765915768854072</v>
      </c>
      <c r="G527" s="12" t="s">
        <v>161</v>
      </c>
      <c r="H527" s="15">
        <f>IF(H526&gt;$D$502,H526-$D$502,0)</f>
        <v>2.5514201762977464</v>
      </c>
    </row>
    <row r="528" spans="2:12" hidden="1" outlineLevel="1" x14ac:dyDescent="0.35">
      <c r="C528" s="4" t="s">
        <v>168</v>
      </c>
      <c r="D528" s="6">
        <f>F526</f>
        <v>3.9658637641955821</v>
      </c>
      <c r="H528" s="26"/>
      <c r="L528" s="24"/>
    </row>
    <row r="529" spans="2:12" hidden="1" outlineLevel="1" x14ac:dyDescent="0.35">
      <c r="C529" s="4" t="s">
        <v>169</v>
      </c>
      <c r="D529" s="6">
        <f>F541</f>
        <v>1.4717795330496628</v>
      </c>
      <c r="H529" s="27"/>
      <c r="L529" s="24"/>
    </row>
    <row r="530" spans="2:12" hidden="1" outlineLevel="1" x14ac:dyDescent="0.35">
      <c r="C530" s="4" t="s">
        <v>124</v>
      </c>
      <c r="D530" s="19">
        <f>(D528-D529)/(D526-D527)</f>
        <v>1</v>
      </c>
      <c r="H530" s="27"/>
    </row>
    <row r="531" spans="2:12" hidden="1" outlineLevel="1" x14ac:dyDescent="0.35">
      <c r="C531" s="4" t="s">
        <v>87</v>
      </c>
      <c r="D531" s="19">
        <f>(D529-D527*D530)*EXP(-$D$489*($F$491/12))</f>
        <v>-57.079685571225539</v>
      </c>
      <c r="G531" s="2" t="s">
        <v>109</v>
      </c>
      <c r="H531" s="26"/>
    </row>
    <row r="532" spans="2:12" hidden="1" outlineLevel="1" x14ac:dyDescent="0.35">
      <c r="C532" s="4" t="s">
        <v>91</v>
      </c>
      <c r="D532" s="6">
        <v>60</v>
      </c>
      <c r="E532" s="2" t="s">
        <v>98</v>
      </c>
      <c r="G532" s="4" t="s">
        <v>143</v>
      </c>
      <c r="H532" s="6">
        <f>F540*$D$494</f>
        <v>57.447500000000005</v>
      </c>
    </row>
    <row r="533" spans="2:12" hidden="1" outlineLevel="1" x14ac:dyDescent="0.35">
      <c r="C533" s="12" t="s">
        <v>168</v>
      </c>
      <c r="D533" s="31">
        <f>D532*D530+D531</f>
        <v>2.9203144287744607</v>
      </c>
      <c r="E533" s="4" t="s">
        <v>89</v>
      </c>
      <c r="F533" s="6">
        <f>$D$502</f>
        <v>55</v>
      </c>
      <c r="G533" s="12" t="s">
        <v>164</v>
      </c>
      <c r="H533" s="15">
        <f>IF(H532&gt;$D$502,H532-$D$502,0)</f>
        <v>2.4475000000000051</v>
      </c>
      <c r="L533" s="24"/>
    </row>
    <row r="534" spans="2:12" hidden="1" outlineLevel="1" x14ac:dyDescent="0.35">
      <c r="C534" s="25"/>
      <c r="E534" s="4" t="s">
        <v>143</v>
      </c>
      <c r="F534" s="6">
        <f>H532</f>
        <v>57.447500000000005</v>
      </c>
      <c r="H534" s="27"/>
    </row>
    <row r="535" spans="2:12" hidden="1" outlineLevel="1" x14ac:dyDescent="0.35">
      <c r="C535" s="25"/>
      <c r="E535" s="4" t="s">
        <v>149</v>
      </c>
      <c r="F535" s="6">
        <f>H541</f>
        <v>55.108634445498609</v>
      </c>
      <c r="H535" s="27"/>
    </row>
    <row r="536" spans="2:12" hidden="1" outlineLevel="1" x14ac:dyDescent="0.35">
      <c r="C536" s="25"/>
      <c r="E536" s="4" t="s">
        <v>164</v>
      </c>
      <c r="F536" s="6">
        <f>H533</f>
        <v>2.4475000000000051</v>
      </c>
      <c r="H536" s="27"/>
    </row>
    <row r="537" spans="2:12" hidden="1" outlineLevel="1" x14ac:dyDescent="0.35">
      <c r="C537" s="25"/>
      <c r="E537" s="4" t="s">
        <v>167</v>
      </c>
      <c r="F537" s="6">
        <f>H542</f>
        <v>0.10863444549860901</v>
      </c>
      <c r="H537" s="27"/>
    </row>
    <row r="538" spans="2:12" hidden="1" outlineLevel="1" x14ac:dyDescent="0.35">
      <c r="C538" s="25"/>
      <c r="E538" s="4" t="s">
        <v>124</v>
      </c>
      <c r="F538" s="19">
        <f>(F536-F537)/(F534-F535)</f>
        <v>1</v>
      </c>
      <c r="H538" s="26"/>
    </row>
    <row r="539" spans="2:12" hidden="1" outlineLevel="1" x14ac:dyDescent="0.35">
      <c r="C539" s="25"/>
      <c r="E539" s="4" t="s">
        <v>87</v>
      </c>
      <c r="F539" s="19">
        <f>(F537-F535*F538)*EXP(-$D$489*($F$491/12))</f>
        <v>-54.794136235804409</v>
      </c>
      <c r="H539" s="26"/>
    </row>
    <row r="540" spans="2:12" hidden="1" outlineLevel="1" x14ac:dyDescent="0.35">
      <c r="C540" s="25"/>
      <c r="E540" s="4" t="s">
        <v>229</v>
      </c>
      <c r="F540" s="6">
        <f>D527-D491</f>
        <v>56.265915768854072</v>
      </c>
      <c r="G540" s="2" t="s">
        <v>110</v>
      </c>
      <c r="H540" s="26"/>
    </row>
    <row r="541" spans="2:12" hidden="1" outlineLevel="1" x14ac:dyDescent="0.35">
      <c r="C541" s="25"/>
      <c r="E541" s="12" t="s">
        <v>169</v>
      </c>
      <c r="F541" s="31">
        <f>F540*F538+F539</f>
        <v>1.4717795330496628</v>
      </c>
      <c r="G541" s="4" t="s">
        <v>149</v>
      </c>
      <c r="H541" s="6">
        <f>F540*$D$496</f>
        <v>55.108634445498609</v>
      </c>
    </row>
    <row r="542" spans="2:12" hidden="1" outlineLevel="1" x14ac:dyDescent="0.35">
      <c r="C542" s="28"/>
      <c r="D542" s="29"/>
      <c r="E542" s="29"/>
      <c r="F542" s="29"/>
      <c r="G542" s="12" t="s">
        <v>167</v>
      </c>
      <c r="H542" s="15">
        <f>IF(H541&gt;$D$502,H541-$D$502,0)</f>
        <v>0.10863444549860901</v>
      </c>
    </row>
    <row r="543" spans="2:12" collapsed="1" x14ac:dyDescent="0.35"/>
    <row r="544" spans="2:12" x14ac:dyDescent="0.35">
      <c r="B544" s="2" t="s">
        <v>8</v>
      </c>
      <c r="C544" s="1" t="s">
        <v>73</v>
      </c>
    </row>
    <row r="545" spans="3:12" x14ac:dyDescent="0.35">
      <c r="C545" s="1" t="s">
        <v>74</v>
      </c>
    </row>
    <row r="546" spans="3:12" x14ac:dyDescent="0.35">
      <c r="C546" s="1" t="s">
        <v>75</v>
      </c>
    </row>
    <row r="547" spans="3:12" x14ac:dyDescent="0.35">
      <c r="C547" s="1" t="s">
        <v>76</v>
      </c>
    </row>
    <row r="548" spans="3:12" hidden="1" outlineLevel="1" x14ac:dyDescent="0.35"/>
    <row r="549" spans="3:12" hidden="1" outlineLevel="1" x14ac:dyDescent="0.35">
      <c r="C549" s="68" t="s">
        <v>106</v>
      </c>
      <c r="D549" s="68"/>
      <c r="E549" s="68" t="s">
        <v>107</v>
      </c>
      <c r="F549" s="68"/>
      <c r="G549" s="68" t="s">
        <v>121</v>
      </c>
      <c r="H549" s="68"/>
    </row>
    <row r="550" spans="3:12" hidden="1" outlineLevel="1" x14ac:dyDescent="0.35">
      <c r="C550" s="25"/>
      <c r="G550" s="2" t="s">
        <v>111</v>
      </c>
      <c r="H550" s="26"/>
    </row>
    <row r="551" spans="3:12" hidden="1" outlineLevel="1" x14ac:dyDescent="0.35">
      <c r="C551" s="25"/>
      <c r="E551" s="2" t="s">
        <v>108</v>
      </c>
      <c r="G551" s="4" t="s">
        <v>130</v>
      </c>
      <c r="H551" s="6">
        <f>H517</f>
        <v>59.993959999999987</v>
      </c>
    </row>
    <row r="552" spans="3:12" hidden="1" outlineLevel="1" x14ac:dyDescent="0.35">
      <c r="C552" s="25"/>
      <c r="E552" s="73" t="s">
        <v>203</v>
      </c>
      <c r="F552" s="74"/>
      <c r="G552" s="12" t="s">
        <v>158</v>
      </c>
      <c r="H552" s="15">
        <f>IF(H551&gt;$D$502,H551-$D$502,0)</f>
        <v>4.9939599999999871</v>
      </c>
    </row>
    <row r="553" spans="3:12" hidden="1" outlineLevel="1" x14ac:dyDescent="0.35">
      <c r="C553" s="25"/>
      <c r="E553" s="4" t="s">
        <v>89</v>
      </c>
      <c r="F553" s="6">
        <f>$D$502</f>
        <v>55</v>
      </c>
      <c r="H553" s="27"/>
    </row>
    <row r="554" spans="3:12" hidden="1" outlineLevel="1" x14ac:dyDescent="0.35">
      <c r="C554" s="25"/>
      <c r="E554" s="4" t="s">
        <v>151</v>
      </c>
      <c r="F554" s="6">
        <f>D526</f>
        <v>61.259999999999991</v>
      </c>
      <c r="H554" s="27"/>
    </row>
    <row r="555" spans="3:12" hidden="1" outlineLevel="1" x14ac:dyDescent="0.35">
      <c r="C555" s="25"/>
      <c r="E555" s="12" t="s">
        <v>181</v>
      </c>
      <c r="F555" s="15">
        <f>IF(F554&gt;$D$502,F554-$D$502,0)</f>
        <v>6.2599999999999909</v>
      </c>
      <c r="H555" s="27"/>
    </row>
    <row r="556" spans="3:12" hidden="1" outlineLevel="1" x14ac:dyDescent="0.35">
      <c r="C556" s="25"/>
      <c r="E556" s="73" t="s">
        <v>269</v>
      </c>
      <c r="F556" s="74"/>
      <c r="H556" s="27"/>
    </row>
    <row r="557" spans="3:12" hidden="1" outlineLevel="1" x14ac:dyDescent="0.35">
      <c r="C557" s="25"/>
      <c r="E557" s="4" t="s">
        <v>89</v>
      </c>
      <c r="F557" s="6">
        <f>$D$502</f>
        <v>55</v>
      </c>
      <c r="H557" s="27"/>
      <c r="L557" s="24"/>
    </row>
    <row r="558" spans="3:12" hidden="1" outlineLevel="1" x14ac:dyDescent="0.35">
      <c r="C558" s="25"/>
      <c r="E558" s="4" t="s">
        <v>130</v>
      </c>
      <c r="F558" s="6">
        <f>H551</f>
        <v>59.993959999999987</v>
      </c>
      <c r="H558" s="27"/>
      <c r="L558" s="24"/>
    </row>
    <row r="559" spans="3:12" hidden="1" outlineLevel="1" x14ac:dyDescent="0.35">
      <c r="C559" s="25"/>
      <c r="E559" s="4" t="s">
        <v>135</v>
      </c>
      <c r="F559" s="6">
        <f>H567</f>
        <v>57.551420176297746</v>
      </c>
      <c r="H559" s="26"/>
    </row>
    <row r="560" spans="3:12" hidden="1" outlineLevel="1" x14ac:dyDescent="0.35">
      <c r="C560" s="25"/>
      <c r="E560" s="4" t="s">
        <v>158</v>
      </c>
      <c r="F560" s="6">
        <f>H552</f>
        <v>4.9939599999999871</v>
      </c>
      <c r="H560" s="26"/>
    </row>
    <row r="561" spans="3:12" hidden="1" outlineLevel="1" x14ac:dyDescent="0.35">
      <c r="C561" s="25"/>
      <c r="E561" s="4" t="s">
        <v>161</v>
      </c>
      <c r="F561" s="6">
        <f>H568</f>
        <v>2.5514201762977464</v>
      </c>
      <c r="H561" s="26"/>
    </row>
    <row r="562" spans="3:12" hidden="1" outlineLevel="1" x14ac:dyDescent="0.35">
      <c r="C562" s="25"/>
      <c r="E562" s="12" t="s">
        <v>124</v>
      </c>
      <c r="F562" s="56">
        <f>(F560-F561)/(F558-F559)</f>
        <v>1</v>
      </c>
      <c r="H562" s="26"/>
      <c r="L562" s="24"/>
    </row>
    <row r="563" spans="3:12" hidden="1" outlineLevel="1" x14ac:dyDescent="0.35">
      <c r="C563" s="25"/>
      <c r="E563" s="12" t="s">
        <v>87</v>
      </c>
      <c r="F563" s="56">
        <f>(F561-F559*F562)*EXP(-$D$489*($F$491/12))</f>
        <v>-54.794136235804409</v>
      </c>
      <c r="H563" s="26"/>
      <c r="L563" s="24"/>
    </row>
    <row r="564" spans="3:12" hidden="1" outlineLevel="1" x14ac:dyDescent="0.35">
      <c r="C564" s="57" t="s">
        <v>276</v>
      </c>
      <c r="E564" s="12" t="s">
        <v>230</v>
      </c>
      <c r="F564" s="38">
        <f>F525</f>
        <v>58.759999999999991</v>
      </c>
      <c r="H564" s="26"/>
      <c r="L564" s="24"/>
    </row>
    <row r="565" spans="3:12" hidden="1" outlineLevel="1" x14ac:dyDescent="0.35">
      <c r="C565" s="4" t="s">
        <v>89</v>
      </c>
      <c r="D565" s="6">
        <f>$D$502</f>
        <v>55</v>
      </c>
      <c r="E565" s="12" t="s">
        <v>168</v>
      </c>
      <c r="F565" s="64">
        <f>F564*F562+F563</f>
        <v>3.9658637641955821</v>
      </c>
      <c r="H565" s="26"/>
      <c r="L565" s="24"/>
    </row>
    <row r="566" spans="3:12" hidden="1" outlineLevel="1" x14ac:dyDescent="0.35">
      <c r="C566" s="4" t="s">
        <v>151</v>
      </c>
      <c r="D566" s="6">
        <f>D526</f>
        <v>61.259999999999991</v>
      </c>
      <c r="E566" s="69" t="s">
        <v>283</v>
      </c>
      <c r="F566" s="70"/>
      <c r="G566" s="2" t="s">
        <v>110</v>
      </c>
      <c r="H566" s="27"/>
      <c r="L566" s="24"/>
    </row>
    <row r="567" spans="3:12" hidden="1" outlineLevel="1" x14ac:dyDescent="0.35">
      <c r="C567" s="4" t="s">
        <v>153</v>
      </c>
      <c r="D567" s="6">
        <f>D527</f>
        <v>58.765915768854072</v>
      </c>
      <c r="E567" s="71"/>
      <c r="F567" s="75"/>
      <c r="G567" s="4" t="s">
        <v>135</v>
      </c>
      <c r="H567" s="6">
        <f>H526</f>
        <v>57.551420176297746</v>
      </c>
      <c r="L567" s="24"/>
    </row>
    <row r="568" spans="3:12" hidden="1" outlineLevel="1" x14ac:dyDescent="0.35">
      <c r="C568" s="4" t="s">
        <v>181</v>
      </c>
      <c r="D568" s="6">
        <f>F555</f>
        <v>6.2599999999999909</v>
      </c>
      <c r="G568" s="12" t="s">
        <v>161</v>
      </c>
      <c r="H568" s="15">
        <f>IF(H567&gt;$D$502,H567-$D$502,0)</f>
        <v>2.5514201762977464</v>
      </c>
      <c r="L568" s="24"/>
    </row>
    <row r="569" spans="3:12" hidden="1" outlineLevel="1" x14ac:dyDescent="0.35">
      <c r="C569" s="4" t="s">
        <v>180</v>
      </c>
      <c r="D569" s="6">
        <f>F576</f>
        <v>3.7659157688540716</v>
      </c>
      <c r="H569" s="26"/>
      <c r="L569" s="24"/>
    </row>
    <row r="570" spans="3:12" hidden="1" outlineLevel="1" x14ac:dyDescent="0.35">
      <c r="C570" s="12" t="s">
        <v>124</v>
      </c>
      <c r="D570" s="56">
        <f>(D568-D569)/(D566-D567)</f>
        <v>1</v>
      </c>
      <c r="H570" s="26"/>
      <c r="L570" s="24"/>
    </row>
    <row r="571" spans="3:12" hidden="1" outlineLevel="1" x14ac:dyDescent="0.35">
      <c r="C571" s="12" t="s">
        <v>87</v>
      </c>
      <c r="D571" s="56">
        <f>(D569-D567*D570)*EXP(-$D$489*($F$491/12))</f>
        <v>-54.794136235804409</v>
      </c>
      <c r="G571" s="2" t="s">
        <v>109</v>
      </c>
      <c r="H571" s="26"/>
      <c r="L571" s="24"/>
    </row>
    <row r="572" spans="3:12" hidden="1" outlineLevel="1" x14ac:dyDescent="0.35">
      <c r="C572" s="12" t="s">
        <v>91</v>
      </c>
      <c r="D572" s="38">
        <v>60</v>
      </c>
      <c r="E572" s="2" t="s">
        <v>98</v>
      </c>
      <c r="G572" s="4" t="s">
        <v>143</v>
      </c>
      <c r="H572" s="6">
        <f>H532</f>
        <v>57.447500000000005</v>
      </c>
      <c r="L572" s="24"/>
    </row>
    <row r="573" spans="3:12" hidden="1" outlineLevel="1" x14ac:dyDescent="0.35">
      <c r="C573" s="12" t="s">
        <v>181</v>
      </c>
      <c r="D573" s="31">
        <f>D572*D570+D571</f>
        <v>5.2058637641955912</v>
      </c>
      <c r="E573" s="73" t="s">
        <v>203</v>
      </c>
      <c r="F573" s="74"/>
      <c r="G573" s="12" t="s">
        <v>164</v>
      </c>
      <c r="H573" s="15">
        <f>IF(H572&gt;$D$502,H572-$D$502,0)</f>
        <v>2.4475000000000051</v>
      </c>
      <c r="L573" s="24"/>
    </row>
    <row r="574" spans="3:12" hidden="1" outlineLevel="1" x14ac:dyDescent="0.35">
      <c r="C574" s="25"/>
      <c r="E574" s="4" t="s">
        <v>89</v>
      </c>
      <c r="F574" s="6">
        <f>$D$502</f>
        <v>55</v>
      </c>
      <c r="H574" s="27"/>
      <c r="L574" s="24"/>
    </row>
    <row r="575" spans="3:12" hidden="1" outlineLevel="1" x14ac:dyDescent="0.35">
      <c r="C575" s="25"/>
      <c r="E575" s="4" t="s">
        <v>153</v>
      </c>
      <c r="F575" s="6">
        <f>D527</f>
        <v>58.765915768854072</v>
      </c>
      <c r="H575" s="27"/>
    </row>
    <row r="576" spans="3:12" hidden="1" outlineLevel="1" x14ac:dyDescent="0.35">
      <c r="C576" s="25"/>
      <c r="E576" s="12" t="s">
        <v>180</v>
      </c>
      <c r="F576" s="15">
        <f>IF(F575&gt;$D$502,F575-$D$502,0)</f>
        <v>3.7659157688540716</v>
      </c>
      <c r="H576" s="26"/>
    </row>
    <row r="577" spans="3:12" hidden="1" outlineLevel="1" x14ac:dyDescent="0.35">
      <c r="C577" s="25"/>
      <c r="E577" s="73" t="s">
        <v>269</v>
      </c>
      <c r="F577" s="74"/>
      <c r="H577" s="26"/>
    </row>
    <row r="578" spans="3:12" hidden="1" outlineLevel="1" x14ac:dyDescent="0.35">
      <c r="C578" s="25"/>
      <c r="E578" s="4" t="s">
        <v>89</v>
      </c>
      <c r="F578" s="6">
        <f>$D$502</f>
        <v>55</v>
      </c>
      <c r="H578" s="26"/>
      <c r="L578" s="24"/>
    </row>
    <row r="579" spans="3:12" hidden="1" outlineLevel="1" x14ac:dyDescent="0.35">
      <c r="C579" s="25"/>
      <c r="E579" s="4" t="s">
        <v>143</v>
      </c>
      <c r="F579" s="6">
        <f>H572</f>
        <v>57.447500000000005</v>
      </c>
      <c r="H579" s="27"/>
    </row>
    <row r="580" spans="3:12" hidden="1" outlineLevel="1" x14ac:dyDescent="0.35">
      <c r="C580" s="25"/>
      <c r="E580" s="4" t="s">
        <v>149</v>
      </c>
      <c r="F580" s="6">
        <f>H588</f>
        <v>55.108634445498609</v>
      </c>
      <c r="H580" s="27"/>
    </row>
    <row r="581" spans="3:12" hidden="1" outlineLevel="1" x14ac:dyDescent="0.35">
      <c r="C581" s="25"/>
      <c r="E581" s="4" t="s">
        <v>164</v>
      </c>
      <c r="F581" s="6">
        <f>H573</f>
        <v>2.4475000000000051</v>
      </c>
      <c r="H581" s="27"/>
    </row>
    <row r="582" spans="3:12" hidden="1" outlineLevel="1" x14ac:dyDescent="0.35">
      <c r="C582" s="25"/>
      <c r="E582" s="4" t="s">
        <v>167</v>
      </c>
      <c r="F582" s="6">
        <f>H589</f>
        <v>0.10863444549860901</v>
      </c>
      <c r="H582" s="27"/>
    </row>
    <row r="583" spans="3:12" hidden="1" outlineLevel="1" x14ac:dyDescent="0.35">
      <c r="C583" s="25"/>
      <c r="E583" s="12" t="s">
        <v>124</v>
      </c>
      <c r="F583" s="56">
        <f>(F581-F582)/(F579-F580)</f>
        <v>1</v>
      </c>
      <c r="H583" s="26"/>
    </row>
    <row r="584" spans="3:12" hidden="1" outlineLevel="1" x14ac:dyDescent="0.35">
      <c r="C584" s="25"/>
      <c r="E584" s="12" t="s">
        <v>87</v>
      </c>
      <c r="F584" s="56">
        <f>(F582-F580*F583)*EXP(-$D$489*($F$491/12))</f>
        <v>-54.794136235804409</v>
      </c>
      <c r="H584" s="26"/>
    </row>
    <row r="585" spans="3:12" hidden="1" outlineLevel="1" x14ac:dyDescent="0.35">
      <c r="C585" s="25"/>
      <c r="E585" s="12" t="s">
        <v>229</v>
      </c>
      <c r="F585" s="38">
        <f>F540</f>
        <v>56.265915768854072</v>
      </c>
      <c r="H585" s="26"/>
    </row>
    <row r="586" spans="3:12" hidden="1" outlineLevel="1" x14ac:dyDescent="0.35">
      <c r="C586" s="25"/>
      <c r="E586" s="12" t="s">
        <v>169</v>
      </c>
      <c r="F586" s="64">
        <f>F585*F583+F584</f>
        <v>1.4717795330496628</v>
      </c>
      <c r="H586" s="26"/>
    </row>
    <row r="587" spans="3:12" hidden="1" outlineLevel="1" x14ac:dyDescent="0.35">
      <c r="C587" s="25"/>
      <c r="E587" s="69" t="s">
        <v>284</v>
      </c>
      <c r="F587" s="70"/>
      <c r="G587" s="2" t="s">
        <v>110</v>
      </c>
      <c r="H587" s="26"/>
    </row>
    <row r="588" spans="3:12" hidden="1" outlineLevel="1" x14ac:dyDescent="0.35">
      <c r="C588" s="25"/>
      <c r="E588" s="71"/>
      <c r="F588" s="72"/>
      <c r="G588" s="4" t="s">
        <v>149</v>
      </c>
      <c r="H588" s="6">
        <f>H541</f>
        <v>55.108634445498609</v>
      </c>
    </row>
    <row r="589" spans="3:12" hidden="1" outlineLevel="1" x14ac:dyDescent="0.35">
      <c r="C589" s="28"/>
      <c r="D589" s="29"/>
      <c r="E589" s="29"/>
      <c r="F589" s="29"/>
      <c r="G589" s="12" t="s">
        <v>167</v>
      </c>
      <c r="H589" s="15">
        <f>IF(H588&gt;$D$502,H588-$D$502,0)</f>
        <v>0.10863444549860901</v>
      </c>
    </row>
    <row r="590" spans="3:12" collapsed="1" x14ac:dyDescent="0.35"/>
    <row r="591" spans="3:12" x14ac:dyDescent="0.35">
      <c r="C591" s="1" t="s">
        <v>77</v>
      </c>
    </row>
    <row r="592" spans="3:12" x14ac:dyDescent="0.35">
      <c r="C592" s="1" t="s">
        <v>78</v>
      </c>
    </row>
    <row r="594" spans="2:9" x14ac:dyDescent="0.35">
      <c r="B594" s="2" t="s">
        <v>11</v>
      </c>
      <c r="C594" s="1" t="s">
        <v>79</v>
      </c>
    </row>
    <row r="595" spans="2:9" x14ac:dyDescent="0.35">
      <c r="C595" s="1" t="s">
        <v>80</v>
      </c>
    </row>
    <row r="596" spans="2:9" hidden="1" outlineLevel="1" x14ac:dyDescent="0.35"/>
    <row r="597" spans="2:9" hidden="1" outlineLevel="1" x14ac:dyDescent="0.35">
      <c r="C597" s="68" t="s">
        <v>233</v>
      </c>
      <c r="D597" s="68"/>
      <c r="E597" s="68"/>
      <c r="G597" s="68" t="s">
        <v>235</v>
      </c>
      <c r="H597" s="68"/>
      <c r="I597" s="68"/>
    </row>
    <row r="598" spans="2:9" hidden="1" outlineLevel="1" x14ac:dyDescent="0.35">
      <c r="C598" s="5">
        <v>1</v>
      </c>
      <c r="D598" s="5" t="s">
        <v>234</v>
      </c>
      <c r="E598" s="5" t="s">
        <v>96</v>
      </c>
      <c r="G598" s="5">
        <v>1</v>
      </c>
      <c r="H598" s="5" t="s">
        <v>236</v>
      </c>
      <c r="I598" s="5" t="s">
        <v>96</v>
      </c>
    </row>
    <row r="599" spans="2:9" hidden="1" outlineLevel="1" x14ac:dyDescent="0.35">
      <c r="C599" s="5">
        <v>1</v>
      </c>
      <c r="D599" s="5" t="s">
        <v>234</v>
      </c>
      <c r="E599" s="5" t="s">
        <v>97</v>
      </c>
      <c r="G599" s="5">
        <v>1</v>
      </c>
      <c r="H599" s="5" t="s">
        <v>236</v>
      </c>
      <c r="I599" s="5" t="s">
        <v>97</v>
      </c>
    </row>
    <row r="600" spans="2:9" hidden="1" outlineLevel="1" x14ac:dyDescent="0.35"/>
    <row r="601" spans="2:9" hidden="1" outlineLevel="1" x14ac:dyDescent="0.35">
      <c r="C601" s="2" t="s">
        <v>246</v>
      </c>
    </row>
    <row r="602" spans="2:9" hidden="1" outlineLevel="1" x14ac:dyDescent="0.35">
      <c r="C602" s="1" t="s">
        <v>247</v>
      </c>
    </row>
    <row r="603" spans="2:9" hidden="1" outlineLevel="1" x14ac:dyDescent="0.35"/>
    <row r="604" spans="2:9" hidden="1" outlineLevel="1" x14ac:dyDescent="0.35">
      <c r="C604" s="68" t="s">
        <v>237</v>
      </c>
      <c r="D604" s="68"/>
    </row>
    <row r="605" spans="2:9" hidden="1" outlineLevel="1" x14ac:dyDescent="0.35">
      <c r="C605" s="4" t="s">
        <v>170</v>
      </c>
      <c r="D605" s="31">
        <f>D533</f>
        <v>2.9203144287744607</v>
      </c>
    </row>
    <row r="606" spans="2:9" hidden="1" outlineLevel="1" x14ac:dyDescent="0.35">
      <c r="C606" s="4" t="s">
        <v>155</v>
      </c>
      <c r="D606" s="31">
        <f>D605+D615-D611</f>
        <v>0</v>
      </c>
      <c r="E606" s="8" t="s">
        <v>86</v>
      </c>
      <c r="F606" s="1" t="s">
        <v>238</v>
      </c>
    </row>
    <row r="607" spans="2:9" hidden="1" outlineLevel="1" x14ac:dyDescent="0.35">
      <c r="D607" s="41"/>
    </row>
    <row r="608" spans="2:9" hidden="1" outlineLevel="1" x14ac:dyDescent="0.35">
      <c r="C608" s="68" t="s">
        <v>239</v>
      </c>
      <c r="D608" s="68"/>
    </row>
    <row r="609" spans="3:7" hidden="1" outlineLevel="1" x14ac:dyDescent="0.35">
      <c r="C609" s="44" t="s">
        <v>91</v>
      </c>
      <c r="D609" s="45">
        <f>D488</f>
        <v>60</v>
      </c>
    </row>
    <row r="610" spans="3:7" hidden="1" outlineLevel="1" x14ac:dyDescent="0.35">
      <c r="C610" s="44" t="s">
        <v>172</v>
      </c>
      <c r="D610" s="45">
        <f>D491</f>
        <v>2.5</v>
      </c>
      <c r="E610" s="8" t="s">
        <v>242</v>
      </c>
      <c r="F610" s="5">
        <v>1</v>
      </c>
      <c r="G610" s="8" t="s">
        <v>223</v>
      </c>
    </row>
    <row r="611" spans="3:7" hidden="1" outlineLevel="1" x14ac:dyDescent="0.35">
      <c r="C611" s="44" t="s">
        <v>240</v>
      </c>
      <c r="D611" s="45">
        <f>D609-D610*EXP(-D613*(F610/12))</f>
        <v>57.509357443827071</v>
      </c>
    </row>
    <row r="612" spans="3:7" hidden="1" outlineLevel="1" x14ac:dyDescent="0.35">
      <c r="C612" s="44" t="s">
        <v>89</v>
      </c>
      <c r="D612" s="45">
        <f>D502</f>
        <v>55</v>
      </c>
    </row>
    <row r="613" spans="3:7" hidden="1" outlineLevel="1" x14ac:dyDescent="0.35">
      <c r="C613" s="44" t="s">
        <v>92</v>
      </c>
      <c r="D613" s="46">
        <f>D489</f>
        <v>4.4999999999999998E-2</v>
      </c>
    </row>
    <row r="614" spans="3:7" hidden="1" outlineLevel="1" x14ac:dyDescent="0.35">
      <c r="C614" s="44" t="s">
        <v>241</v>
      </c>
      <c r="D614" s="42">
        <f>D503</f>
        <v>2</v>
      </c>
      <c r="E614" s="8" t="s">
        <v>226</v>
      </c>
    </row>
    <row r="615" spans="3:7" hidden="1" outlineLevel="1" x14ac:dyDescent="0.35">
      <c r="C615" s="44" t="s">
        <v>93</v>
      </c>
      <c r="D615" s="45">
        <f>D612*EXP(-D613*(D614/12))</f>
        <v>54.58904301505261</v>
      </c>
    </row>
    <row r="616" spans="3:7" hidden="1" outlineLevel="1" x14ac:dyDescent="0.35">
      <c r="C616" s="44" t="s">
        <v>243</v>
      </c>
      <c r="D616" s="48">
        <f>D495</f>
        <v>7.1992827548860341E-2</v>
      </c>
      <c r="E616" s="8" t="s">
        <v>244</v>
      </c>
    </row>
    <row r="617" spans="3:7" hidden="1" outlineLevel="1" x14ac:dyDescent="0.35">
      <c r="C617" s="43" t="s">
        <v>197</v>
      </c>
      <c r="D617" s="47">
        <f>LN(D611/D615)/(D616*SQRT(D614/12))+(D616*SQRT(D614/12)/2)</f>
        <v>1.7878429793325563</v>
      </c>
    </row>
    <row r="618" spans="3:7" hidden="1" outlineLevel="1" x14ac:dyDescent="0.35">
      <c r="C618" s="4" t="s">
        <v>198</v>
      </c>
      <c r="D618" s="47">
        <f>_xlfn.NORM.DIST(D617,0,1,TRUE)</f>
        <v>0.96309932772951845</v>
      </c>
    </row>
    <row r="619" spans="3:7" hidden="1" outlineLevel="1" x14ac:dyDescent="0.35">
      <c r="C619" s="4" t="s">
        <v>199</v>
      </c>
      <c r="D619" s="47">
        <f>D617-D616*SQRT(D614/12)</f>
        <v>1.7584520305600744</v>
      </c>
    </row>
    <row r="620" spans="3:7" hidden="1" outlineLevel="1" x14ac:dyDescent="0.35">
      <c r="C620" s="4" t="s">
        <v>200</v>
      </c>
      <c r="D620" s="47">
        <f>_xlfn.NORM.DIST(D619,0,1,TRUE)</f>
        <v>0.96066468662116344</v>
      </c>
    </row>
    <row r="621" spans="3:7" hidden="1" outlineLevel="1" x14ac:dyDescent="0.35">
      <c r="C621" s="12" t="s">
        <v>170</v>
      </c>
      <c r="D621" s="31">
        <f>D611*D618-D615*D620</f>
        <v>2.9454575913017038</v>
      </c>
    </row>
    <row r="622" spans="3:7" hidden="1" outlineLevel="1" x14ac:dyDescent="0.35">
      <c r="C622" s="12" t="s">
        <v>155</v>
      </c>
      <c r="D622" s="31">
        <f>D611*(D618-1)+D615*(1-D620)</f>
        <v>2.5143162527241802E-2</v>
      </c>
    </row>
    <row r="623" spans="3:7" hidden="1" outlineLevel="1" x14ac:dyDescent="0.35"/>
    <row r="624" spans="3:7" hidden="1" outlineLevel="1" x14ac:dyDescent="0.35">
      <c r="C624" s="12" t="s">
        <v>245</v>
      </c>
      <c r="D624" s="31">
        <f>D621+D622</f>
        <v>2.9706007538289456</v>
      </c>
    </row>
    <row r="625" spans="2:7" collapsed="1" x14ac:dyDescent="0.35"/>
    <row r="626" spans="2:7" x14ac:dyDescent="0.35">
      <c r="B626" s="2" t="s">
        <v>19</v>
      </c>
      <c r="C626" s="1" t="s">
        <v>81</v>
      </c>
    </row>
    <row r="627" spans="2:7" x14ac:dyDescent="0.35">
      <c r="C627" s="1" t="s">
        <v>82</v>
      </c>
    </row>
    <row r="628" spans="2:7" hidden="1" outlineLevel="1" x14ac:dyDescent="0.35"/>
    <row r="629" spans="2:7" hidden="1" outlineLevel="1" x14ac:dyDescent="0.35">
      <c r="C629" s="44" t="s">
        <v>89</v>
      </c>
      <c r="D629" s="45">
        <f>D612</f>
        <v>55</v>
      </c>
    </row>
    <row r="630" spans="2:7" hidden="1" outlineLevel="1" x14ac:dyDescent="0.35"/>
    <row r="631" spans="2:7" hidden="1" outlineLevel="1" x14ac:dyDescent="0.35">
      <c r="C631" s="55" t="s">
        <v>187</v>
      </c>
      <c r="D631" s="55" t="s">
        <v>248</v>
      </c>
      <c r="E631" s="55" t="s">
        <v>249</v>
      </c>
      <c r="F631" s="55" t="s">
        <v>250</v>
      </c>
      <c r="G631" s="55" t="s">
        <v>103</v>
      </c>
    </row>
    <row r="632" spans="2:7" hidden="1" outlineLevel="1" x14ac:dyDescent="0.35">
      <c r="C632" s="18">
        <v>35</v>
      </c>
      <c r="D632" s="6">
        <f>IF($C632&gt;$D$629,$C632-$D$629,0)</f>
        <v>0</v>
      </c>
      <c r="E632" s="6">
        <f>IF($C632&lt;$D$629,$D$629-$C632,0)</f>
        <v>20</v>
      </c>
      <c r="F632" s="6">
        <f>D632+E632</f>
        <v>20</v>
      </c>
      <c r="G632" s="6">
        <f>F632-$D$624</f>
        <v>17.029399246171053</v>
      </c>
    </row>
    <row r="633" spans="2:7" hidden="1" outlineLevel="1" x14ac:dyDescent="0.35">
      <c r="C633" s="18">
        <f>C632+1</f>
        <v>36</v>
      </c>
      <c r="D633" s="6">
        <f t="shared" ref="D633:D672" si="5">IF($C633&gt;$D$629,$C633-$D$629,0)</f>
        <v>0</v>
      </c>
      <c r="E633" s="6">
        <f t="shared" ref="E633:E672" si="6">IF($C633&lt;$D$629,$D$629-$C633,0)</f>
        <v>19</v>
      </c>
      <c r="F633" s="6">
        <f t="shared" ref="F633:F672" si="7">D633+E633</f>
        <v>19</v>
      </c>
      <c r="G633" s="6">
        <f t="shared" ref="G633:G672" si="8">F633-$D$624</f>
        <v>16.029399246171053</v>
      </c>
    </row>
    <row r="634" spans="2:7" hidden="1" outlineLevel="1" x14ac:dyDescent="0.35">
      <c r="C634" s="18">
        <f t="shared" ref="C634:C672" si="9">C633+1</f>
        <v>37</v>
      </c>
      <c r="D634" s="6">
        <f t="shared" si="5"/>
        <v>0</v>
      </c>
      <c r="E634" s="6">
        <f t="shared" si="6"/>
        <v>18</v>
      </c>
      <c r="F634" s="6">
        <f t="shared" si="7"/>
        <v>18</v>
      </c>
      <c r="G634" s="6">
        <f t="shared" si="8"/>
        <v>15.029399246171055</v>
      </c>
    </row>
    <row r="635" spans="2:7" hidden="1" outlineLevel="1" x14ac:dyDescent="0.35">
      <c r="C635" s="18">
        <f t="shared" si="9"/>
        <v>38</v>
      </c>
      <c r="D635" s="6">
        <f t="shared" si="5"/>
        <v>0</v>
      </c>
      <c r="E635" s="6">
        <f t="shared" si="6"/>
        <v>17</v>
      </c>
      <c r="F635" s="6">
        <f t="shared" si="7"/>
        <v>17</v>
      </c>
      <c r="G635" s="6">
        <f t="shared" si="8"/>
        <v>14.029399246171055</v>
      </c>
    </row>
    <row r="636" spans="2:7" hidden="1" outlineLevel="1" x14ac:dyDescent="0.35">
      <c r="C636" s="18">
        <f t="shared" si="9"/>
        <v>39</v>
      </c>
      <c r="D636" s="6">
        <f t="shared" si="5"/>
        <v>0</v>
      </c>
      <c r="E636" s="6">
        <f t="shared" si="6"/>
        <v>16</v>
      </c>
      <c r="F636" s="6">
        <f t="shared" si="7"/>
        <v>16</v>
      </c>
      <c r="G636" s="6">
        <f t="shared" si="8"/>
        <v>13.029399246171055</v>
      </c>
    </row>
    <row r="637" spans="2:7" hidden="1" outlineLevel="1" x14ac:dyDescent="0.35">
      <c r="C637" s="18">
        <f t="shared" si="9"/>
        <v>40</v>
      </c>
      <c r="D637" s="6">
        <f t="shared" si="5"/>
        <v>0</v>
      </c>
      <c r="E637" s="6">
        <f t="shared" si="6"/>
        <v>15</v>
      </c>
      <c r="F637" s="6">
        <f t="shared" si="7"/>
        <v>15</v>
      </c>
      <c r="G637" s="6">
        <f t="shared" si="8"/>
        <v>12.029399246171055</v>
      </c>
    </row>
    <row r="638" spans="2:7" hidden="1" outlineLevel="1" x14ac:dyDescent="0.35">
      <c r="C638" s="18">
        <f t="shared" si="9"/>
        <v>41</v>
      </c>
      <c r="D638" s="6">
        <f t="shared" si="5"/>
        <v>0</v>
      </c>
      <c r="E638" s="6">
        <f t="shared" si="6"/>
        <v>14</v>
      </c>
      <c r="F638" s="6">
        <f t="shared" si="7"/>
        <v>14</v>
      </c>
      <c r="G638" s="6">
        <f t="shared" si="8"/>
        <v>11.029399246171055</v>
      </c>
    </row>
    <row r="639" spans="2:7" hidden="1" outlineLevel="1" x14ac:dyDescent="0.35">
      <c r="C639" s="18">
        <f t="shared" si="9"/>
        <v>42</v>
      </c>
      <c r="D639" s="6">
        <f t="shared" si="5"/>
        <v>0</v>
      </c>
      <c r="E639" s="6">
        <f t="shared" si="6"/>
        <v>13</v>
      </c>
      <c r="F639" s="6">
        <f t="shared" si="7"/>
        <v>13</v>
      </c>
      <c r="G639" s="6">
        <f t="shared" si="8"/>
        <v>10.029399246171055</v>
      </c>
    </row>
    <row r="640" spans="2:7" hidden="1" outlineLevel="1" x14ac:dyDescent="0.35">
      <c r="C640" s="18">
        <f t="shared" si="9"/>
        <v>43</v>
      </c>
      <c r="D640" s="6">
        <f t="shared" si="5"/>
        <v>0</v>
      </c>
      <c r="E640" s="6">
        <f t="shared" si="6"/>
        <v>12</v>
      </c>
      <c r="F640" s="6">
        <f t="shared" si="7"/>
        <v>12</v>
      </c>
      <c r="G640" s="6">
        <f t="shared" si="8"/>
        <v>9.0293992461710548</v>
      </c>
    </row>
    <row r="641" spans="3:7" hidden="1" outlineLevel="1" x14ac:dyDescent="0.35">
      <c r="C641" s="18">
        <f t="shared" si="9"/>
        <v>44</v>
      </c>
      <c r="D641" s="6">
        <f t="shared" si="5"/>
        <v>0</v>
      </c>
      <c r="E641" s="6">
        <f t="shared" si="6"/>
        <v>11</v>
      </c>
      <c r="F641" s="6">
        <f t="shared" si="7"/>
        <v>11</v>
      </c>
      <c r="G641" s="6">
        <f t="shared" si="8"/>
        <v>8.0293992461710548</v>
      </c>
    </row>
    <row r="642" spans="3:7" hidden="1" outlineLevel="1" x14ac:dyDescent="0.35">
      <c r="C642" s="18">
        <f t="shared" si="9"/>
        <v>45</v>
      </c>
      <c r="D642" s="6">
        <f t="shared" si="5"/>
        <v>0</v>
      </c>
      <c r="E642" s="6">
        <f t="shared" si="6"/>
        <v>10</v>
      </c>
      <c r="F642" s="6">
        <f t="shared" si="7"/>
        <v>10</v>
      </c>
      <c r="G642" s="6">
        <f t="shared" si="8"/>
        <v>7.0293992461710548</v>
      </c>
    </row>
    <row r="643" spans="3:7" hidden="1" outlineLevel="1" x14ac:dyDescent="0.35">
      <c r="C643" s="18">
        <f t="shared" si="9"/>
        <v>46</v>
      </c>
      <c r="D643" s="6">
        <f t="shared" si="5"/>
        <v>0</v>
      </c>
      <c r="E643" s="6">
        <f t="shared" si="6"/>
        <v>9</v>
      </c>
      <c r="F643" s="6">
        <f t="shared" si="7"/>
        <v>9</v>
      </c>
      <c r="G643" s="6">
        <f t="shared" si="8"/>
        <v>6.0293992461710548</v>
      </c>
    </row>
    <row r="644" spans="3:7" hidden="1" outlineLevel="1" x14ac:dyDescent="0.35">
      <c r="C644" s="18">
        <f t="shared" si="9"/>
        <v>47</v>
      </c>
      <c r="D644" s="6">
        <f t="shared" si="5"/>
        <v>0</v>
      </c>
      <c r="E644" s="6">
        <f t="shared" si="6"/>
        <v>8</v>
      </c>
      <c r="F644" s="6">
        <f t="shared" si="7"/>
        <v>8</v>
      </c>
      <c r="G644" s="6">
        <f t="shared" si="8"/>
        <v>5.0293992461710548</v>
      </c>
    </row>
    <row r="645" spans="3:7" hidden="1" outlineLevel="1" x14ac:dyDescent="0.35">
      <c r="C645" s="18">
        <f t="shared" si="9"/>
        <v>48</v>
      </c>
      <c r="D645" s="6">
        <f t="shared" si="5"/>
        <v>0</v>
      </c>
      <c r="E645" s="6">
        <f t="shared" si="6"/>
        <v>7</v>
      </c>
      <c r="F645" s="6">
        <f t="shared" si="7"/>
        <v>7</v>
      </c>
      <c r="G645" s="6">
        <f t="shared" si="8"/>
        <v>4.0293992461710548</v>
      </c>
    </row>
    <row r="646" spans="3:7" hidden="1" outlineLevel="1" x14ac:dyDescent="0.35">
      <c r="C646" s="18">
        <f t="shared" si="9"/>
        <v>49</v>
      </c>
      <c r="D646" s="6">
        <f t="shared" si="5"/>
        <v>0</v>
      </c>
      <c r="E646" s="6">
        <f t="shared" si="6"/>
        <v>6</v>
      </c>
      <c r="F646" s="6">
        <f t="shared" si="7"/>
        <v>6</v>
      </c>
      <c r="G646" s="6">
        <f t="shared" si="8"/>
        <v>3.0293992461710544</v>
      </c>
    </row>
    <row r="647" spans="3:7" hidden="1" outlineLevel="1" x14ac:dyDescent="0.35">
      <c r="C647" s="18">
        <f t="shared" si="9"/>
        <v>50</v>
      </c>
      <c r="D647" s="6">
        <f t="shared" si="5"/>
        <v>0</v>
      </c>
      <c r="E647" s="6">
        <f t="shared" si="6"/>
        <v>5</v>
      </c>
      <c r="F647" s="6">
        <f t="shared" si="7"/>
        <v>5</v>
      </c>
      <c r="G647" s="6">
        <f t="shared" si="8"/>
        <v>2.0293992461710544</v>
      </c>
    </row>
    <row r="648" spans="3:7" hidden="1" outlineLevel="1" x14ac:dyDescent="0.35">
      <c r="C648" s="18">
        <f t="shared" si="9"/>
        <v>51</v>
      </c>
      <c r="D648" s="6">
        <f t="shared" si="5"/>
        <v>0</v>
      </c>
      <c r="E648" s="6">
        <f t="shared" si="6"/>
        <v>4</v>
      </c>
      <c r="F648" s="6">
        <f t="shared" si="7"/>
        <v>4</v>
      </c>
      <c r="G648" s="6">
        <f t="shared" si="8"/>
        <v>1.0293992461710544</v>
      </c>
    </row>
    <row r="649" spans="3:7" hidden="1" outlineLevel="1" x14ac:dyDescent="0.35">
      <c r="C649" s="18">
        <f t="shared" si="9"/>
        <v>52</v>
      </c>
      <c r="D649" s="6">
        <f t="shared" si="5"/>
        <v>0</v>
      </c>
      <c r="E649" s="6">
        <f t="shared" si="6"/>
        <v>3</v>
      </c>
      <c r="F649" s="6">
        <f t="shared" si="7"/>
        <v>3</v>
      </c>
      <c r="G649" s="6">
        <f t="shared" si="8"/>
        <v>2.9399246171054383E-2</v>
      </c>
    </row>
    <row r="650" spans="3:7" hidden="1" outlineLevel="1" x14ac:dyDescent="0.35">
      <c r="C650" s="18">
        <f t="shared" si="9"/>
        <v>53</v>
      </c>
      <c r="D650" s="6">
        <f t="shared" si="5"/>
        <v>0</v>
      </c>
      <c r="E650" s="6">
        <f t="shared" si="6"/>
        <v>2</v>
      </c>
      <c r="F650" s="6">
        <f t="shared" si="7"/>
        <v>2</v>
      </c>
      <c r="G650" s="6">
        <f t="shared" si="8"/>
        <v>-0.97060075382894562</v>
      </c>
    </row>
    <row r="651" spans="3:7" hidden="1" outlineLevel="1" x14ac:dyDescent="0.35">
      <c r="C651" s="18">
        <f t="shared" si="9"/>
        <v>54</v>
      </c>
      <c r="D651" s="6">
        <f t="shared" si="5"/>
        <v>0</v>
      </c>
      <c r="E651" s="6">
        <f t="shared" si="6"/>
        <v>1</v>
      </c>
      <c r="F651" s="6">
        <f t="shared" si="7"/>
        <v>1</v>
      </c>
      <c r="G651" s="6">
        <f t="shared" si="8"/>
        <v>-1.9706007538289456</v>
      </c>
    </row>
    <row r="652" spans="3:7" hidden="1" outlineLevel="1" x14ac:dyDescent="0.35">
      <c r="C652" s="18">
        <f t="shared" si="9"/>
        <v>55</v>
      </c>
      <c r="D652" s="6">
        <f t="shared" si="5"/>
        <v>0</v>
      </c>
      <c r="E652" s="6">
        <f t="shared" si="6"/>
        <v>0</v>
      </c>
      <c r="F652" s="6">
        <f t="shared" si="7"/>
        <v>0</v>
      </c>
      <c r="G652" s="6">
        <f t="shared" si="8"/>
        <v>-2.9706007538289456</v>
      </c>
    </row>
    <row r="653" spans="3:7" hidden="1" outlineLevel="1" x14ac:dyDescent="0.35">
      <c r="C653" s="18">
        <f t="shared" si="9"/>
        <v>56</v>
      </c>
      <c r="D653" s="6">
        <f t="shared" si="5"/>
        <v>1</v>
      </c>
      <c r="E653" s="6">
        <f t="shared" si="6"/>
        <v>0</v>
      </c>
      <c r="F653" s="6">
        <f t="shared" si="7"/>
        <v>1</v>
      </c>
      <c r="G653" s="6">
        <f t="shared" si="8"/>
        <v>-1.9706007538289456</v>
      </c>
    </row>
    <row r="654" spans="3:7" hidden="1" outlineLevel="1" x14ac:dyDescent="0.35">
      <c r="C654" s="18">
        <f t="shared" si="9"/>
        <v>57</v>
      </c>
      <c r="D654" s="6">
        <f t="shared" si="5"/>
        <v>2</v>
      </c>
      <c r="E654" s="6">
        <f t="shared" si="6"/>
        <v>0</v>
      </c>
      <c r="F654" s="6">
        <f t="shared" si="7"/>
        <v>2</v>
      </c>
      <c r="G654" s="6">
        <f t="shared" si="8"/>
        <v>-0.97060075382894562</v>
      </c>
    </row>
    <row r="655" spans="3:7" hidden="1" outlineLevel="1" x14ac:dyDescent="0.35">
      <c r="C655" s="18">
        <f t="shared" si="9"/>
        <v>58</v>
      </c>
      <c r="D655" s="6">
        <f t="shared" si="5"/>
        <v>3</v>
      </c>
      <c r="E655" s="6">
        <f t="shared" si="6"/>
        <v>0</v>
      </c>
      <c r="F655" s="6">
        <f t="shared" si="7"/>
        <v>3</v>
      </c>
      <c r="G655" s="6">
        <f t="shared" si="8"/>
        <v>2.9399246171054383E-2</v>
      </c>
    </row>
    <row r="656" spans="3:7" hidden="1" outlineLevel="1" x14ac:dyDescent="0.35">
      <c r="C656" s="18">
        <f t="shared" si="9"/>
        <v>59</v>
      </c>
      <c r="D656" s="6">
        <f t="shared" si="5"/>
        <v>4</v>
      </c>
      <c r="E656" s="6">
        <f t="shared" si="6"/>
        <v>0</v>
      </c>
      <c r="F656" s="6">
        <f t="shared" si="7"/>
        <v>4</v>
      </c>
      <c r="G656" s="6">
        <f t="shared" si="8"/>
        <v>1.0293992461710544</v>
      </c>
    </row>
    <row r="657" spans="3:7" hidden="1" outlineLevel="1" x14ac:dyDescent="0.35">
      <c r="C657" s="18">
        <f t="shared" si="9"/>
        <v>60</v>
      </c>
      <c r="D657" s="6">
        <f t="shared" si="5"/>
        <v>5</v>
      </c>
      <c r="E657" s="6">
        <f t="shared" si="6"/>
        <v>0</v>
      </c>
      <c r="F657" s="6">
        <f t="shared" si="7"/>
        <v>5</v>
      </c>
      <c r="G657" s="6">
        <f t="shared" si="8"/>
        <v>2.0293992461710544</v>
      </c>
    </row>
    <row r="658" spans="3:7" hidden="1" outlineLevel="1" x14ac:dyDescent="0.35">
      <c r="C658" s="18">
        <f t="shared" si="9"/>
        <v>61</v>
      </c>
      <c r="D658" s="6">
        <f t="shared" si="5"/>
        <v>6</v>
      </c>
      <c r="E658" s="6">
        <f t="shared" si="6"/>
        <v>0</v>
      </c>
      <c r="F658" s="6">
        <f t="shared" si="7"/>
        <v>6</v>
      </c>
      <c r="G658" s="6">
        <f t="shared" si="8"/>
        <v>3.0293992461710544</v>
      </c>
    </row>
    <row r="659" spans="3:7" hidden="1" outlineLevel="1" x14ac:dyDescent="0.35">
      <c r="C659" s="18">
        <f t="shared" si="9"/>
        <v>62</v>
      </c>
      <c r="D659" s="6">
        <f t="shared" si="5"/>
        <v>7</v>
      </c>
      <c r="E659" s="6">
        <f t="shared" si="6"/>
        <v>0</v>
      </c>
      <c r="F659" s="6">
        <f t="shared" si="7"/>
        <v>7</v>
      </c>
      <c r="G659" s="6">
        <f t="shared" si="8"/>
        <v>4.0293992461710548</v>
      </c>
    </row>
    <row r="660" spans="3:7" hidden="1" outlineLevel="1" x14ac:dyDescent="0.35">
      <c r="C660" s="18">
        <f t="shared" si="9"/>
        <v>63</v>
      </c>
      <c r="D660" s="6">
        <f t="shared" si="5"/>
        <v>8</v>
      </c>
      <c r="E660" s="6">
        <f t="shared" si="6"/>
        <v>0</v>
      </c>
      <c r="F660" s="6">
        <f t="shared" si="7"/>
        <v>8</v>
      </c>
      <c r="G660" s="6">
        <f t="shared" si="8"/>
        <v>5.0293992461710548</v>
      </c>
    </row>
    <row r="661" spans="3:7" hidden="1" outlineLevel="1" x14ac:dyDescent="0.35">
      <c r="C661" s="18">
        <f t="shared" si="9"/>
        <v>64</v>
      </c>
      <c r="D661" s="6">
        <f t="shared" si="5"/>
        <v>9</v>
      </c>
      <c r="E661" s="6">
        <f t="shared" si="6"/>
        <v>0</v>
      </c>
      <c r="F661" s="6">
        <f t="shared" si="7"/>
        <v>9</v>
      </c>
      <c r="G661" s="6">
        <f t="shared" si="8"/>
        <v>6.0293992461710548</v>
      </c>
    </row>
    <row r="662" spans="3:7" hidden="1" outlineLevel="1" x14ac:dyDescent="0.35">
      <c r="C662" s="18">
        <f t="shared" si="9"/>
        <v>65</v>
      </c>
      <c r="D662" s="6">
        <f t="shared" si="5"/>
        <v>10</v>
      </c>
      <c r="E662" s="6">
        <f t="shared" si="6"/>
        <v>0</v>
      </c>
      <c r="F662" s="6">
        <f t="shared" si="7"/>
        <v>10</v>
      </c>
      <c r="G662" s="6">
        <f t="shared" si="8"/>
        <v>7.0293992461710548</v>
      </c>
    </row>
    <row r="663" spans="3:7" hidden="1" outlineLevel="1" x14ac:dyDescent="0.35">
      <c r="C663" s="18">
        <f t="shared" si="9"/>
        <v>66</v>
      </c>
      <c r="D663" s="6">
        <f t="shared" si="5"/>
        <v>11</v>
      </c>
      <c r="E663" s="6">
        <f t="shared" si="6"/>
        <v>0</v>
      </c>
      <c r="F663" s="6">
        <f t="shared" si="7"/>
        <v>11</v>
      </c>
      <c r="G663" s="6">
        <f t="shared" si="8"/>
        <v>8.0293992461710548</v>
      </c>
    </row>
    <row r="664" spans="3:7" hidden="1" outlineLevel="1" x14ac:dyDescent="0.35">
      <c r="C664" s="18">
        <f t="shared" si="9"/>
        <v>67</v>
      </c>
      <c r="D664" s="6">
        <f t="shared" si="5"/>
        <v>12</v>
      </c>
      <c r="E664" s="6">
        <f t="shared" si="6"/>
        <v>0</v>
      </c>
      <c r="F664" s="6">
        <f t="shared" si="7"/>
        <v>12</v>
      </c>
      <c r="G664" s="6">
        <f t="shared" si="8"/>
        <v>9.0293992461710548</v>
      </c>
    </row>
    <row r="665" spans="3:7" hidden="1" outlineLevel="1" x14ac:dyDescent="0.35">
      <c r="C665" s="18">
        <f t="shared" si="9"/>
        <v>68</v>
      </c>
      <c r="D665" s="6">
        <f t="shared" si="5"/>
        <v>13</v>
      </c>
      <c r="E665" s="6">
        <f t="shared" si="6"/>
        <v>0</v>
      </c>
      <c r="F665" s="6">
        <f t="shared" si="7"/>
        <v>13</v>
      </c>
      <c r="G665" s="6">
        <f t="shared" si="8"/>
        <v>10.029399246171055</v>
      </c>
    </row>
    <row r="666" spans="3:7" hidden="1" outlineLevel="1" x14ac:dyDescent="0.35">
      <c r="C666" s="18">
        <f t="shared" si="9"/>
        <v>69</v>
      </c>
      <c r="D666" s="6">
        <f t="shared" si="5"/>
        <v>14</v>
      </c>
      <c r="E666" s="6">
        <f t="shared" si="6"/>
        <v>0</v>
      </c>
      <c r="F666" s="6">
        <f t="shared" si="7"/>
        <v>14</v>
      </c>
      <c r="G666" s="6">
        <f t="shared" si="8"/>
        <v>11.029399246171055</v>
      </c>
    </row>
    <row r="667" spans="3:7" hidden="1" outlineLevel="1" x14ac:dyDescent="0.35">
      <c r="C667" s="18">
        <f t="shared" si="9"/>
        <v>70</v>
      </c>
      <c r="D667" s="6">
        <f t="shared" si="5"/>
        <v>15</v>
      </c>
      <c r="E667" s="6">
        <f t="shared" si="6"/>
        <v>0</v>
      </c>
      <c r="F667" s="6">
        <f t="shared" si="7"/>
        <v>15</v>
      </c>
      <c r="G667" s="6">
        <f t="shared" si="8"/>
        <v>12.029399246171055</v>
      </c>
    </row>
    <row r="668" spans="3:7" hidden="1" outlineLevel="1" x14ac:dyDescent="0.35">
      <c r="C668" s="18">
        <f t="shared" si="9"/>
        <v>71</v>
      </c>
      <c r="D668" s="6">
        <f t="shared" si="5"/>
        <v>16</v>
      </c>
      <c r="E668" s="6">
        <f t="shared" si="6"/>
        <v>0</v>
      </c>
      <c r="F668" s="6">
        <f t="shared" si="7"/>
        <v>16</v>
      </c>
      <c r="G668" s="6">
        <f t="shared" si="8"/>
        <v>13.029399246171055</v>
      </c>
    </row>
    <row r="669" spans="3:7" hidden="1" outlineLevel="1" x14ac:dyDescent="0.35">
      <c r="C669" s="18">
        <f t="shared" si="9"/>
        <v>72</v>
      </c>
      <c r="D669" s="6">
        <f t="shared" si="5"/>
        <v>17</v>
      </c>
      <c r="E669" s="6">
        <f t="shared" si="6"/>
        <v>0</v>
      </c>
      <c r="F669" s="6">
        <f t="shared" si="7"/>
        <v>17</v>
      </c>
      <c r="G669" s="6">
        <f t="shared" si="8"/>
        <v>14.029399246171055</v>
      </c>
    </row>
    <row r="670" spans="3:7" hidden="1" outlineLevel="1" x14ac:dyDescent="0.35">
      <c r="C670" s="18">
        <f t="shared" si="9"/>
        <v>73</v>
      </c>
      <c r="D670" s="6">
        <f t="shared" si="5"/>
        <v>18</v>
      </c>
      <c r="E670" s="6">
        <f t="shared" si="6"/>
        <v>0</v>
      </c>
      <c r="F670" s="6">
        <f t="shared" si="7"/>
        <v>18</v>
      </c>
      <c r="G670" s="6">
        <f t="shared" si="8"/>
        <v>15.029399246171055</v>
      </c>
    </row>
    <row r="671" spans="3:7" hidden="1" outlineLevel="1" x14ac:dyDescent="0.35">
      <c r="C671" s="18">
        <f t="shared" si="9"/>
        <v>74</v>
      </c>
      <c r="D671" s="6">
        <f t="shared" si="5"/>
        <v>19</v>
      </c>
      <c r="E671" s="6">
        <f t="shared" si="6"/>
        <v>0</v>
      </c>
      <c r="F671" s="6">
        <f t="shared" si="7"/>
        <v>19</v>
      </c>
      <c r="G671" s="6">
        <f t="shared" si="8"/>
        <v>16.029399246171053</v>
      </c>
    </row>
    <row r="672" spans="3:7" hidden="1" outlineLevel="1" x14ac:dyDescent="0.35">
      <c r="C672" s="18">
        <f t="shared" si="9"/>
        <v>75</v>
      </c>
      <c r="D672" s="6">
        <f t="shared" si="5"/>
        <v>20</v>
      </c>
      <c r="E672" s="6">
        <f t="shared" si="6"/>
        <v>0</v>
      </c>
      <c r="F672" s="6">
        <f t="shared" si="7"/>
        <v>20</v>
      </c>
      <c r="G672" s="6">
        <f t="shared" si="8"/>
        <v>17.029399246171053</v>
      </c>
    </row>
    <row r="673" spans="2:10" hidden="1" outlineLevel="1" x14ac:dyDescent="0.35"/>
    <row r="674" spans="2:10" hidden="1" outlineLevel="1" x14ac:dyDescent="0.35">
      <c r="C674" s="2" t="s">
        <v>251</v>
      </c>
      <c r="D674" s="1" t="s">
        <v>252</v>
      </c>
      <c r="E674" s="21" t="s">
        <v>94</v>
      </c>
      <c r="F674" s="38">
        <v>55</v>
      </c>
      <c r="G674" s="8" t="s">
        <v>253</v>
      </c>
      <c r="H674" s="38">
        <v>0</v>
      </c>
      <c r="I674" s="8" t="s">
        <v>254</v>
      </c>
      <c r="J674" s="1" t="s">
        <v>255</v>
      </c>
    </row>
    <row r="675" spans="2:10" hidden="1" outlineLevel="1" x14ac:dyDescent="0.35">
      <c r="D675" s="1" t="s">
        <v>252</v>
      </c>
      <c r="E675" s="21" t="s">
        <v>256</v>
      </c>
      <c r="F675" s="38">
        <v>55</v>
      </c>
      <c r="G675" s="8" t="s">
        <v>257</v>
      </c>
      <c r="H675" s="38">
        <v>0</v>
      </c>
      <c r="I675" s="8" t="s">
        <v>254</v>
      </c>
      <c r="J675" s="1" t="s">
        <v>258</v>
      </c>
    </row>
    <row r="676" spans="2:10" hidden="1" outlineLevel="1" x14ac:dyDescent="0.35"/>
    <row r="677" spans="2:10" hidden="1" outlineLevel="1" x14ac:dyDescent="0.35"/>
    <row r="678" spans="2:10" hidden="1" outlineLevel="1" x14ac:dyDescent="0.35">
      <c r="C678" s="1" t="s">
        <v>259</v>
      </c>
      <c r="D678" s="38">
        <v>0</v>
      </c>
      <c r="E678" s="8" t="s">
        <v>260</v>
      </c>
      <c r="F678" s="38">
        <f>$F$674-$D$624</f>
        <v>52.029399246171053</v>
      </c>
      <c r="G678" s="8" t="s">
        <v>261</v>
      </c>
      <c r="H678" s="38">
        <f>$F$674+$D$624</f>
        <v>57.970600753828947</v>
      </c>
    </row>
    <row r="679" spans="2:10" hidden="1" outlineLevel="1" x14ac:dyDescent="0.35">
      <c r="E679" s="8"/>
      <c r="F679" s="49"/>
      <c r="G679" s="8"/>
      <c r="H679" s="49"/>
    </row>
    <row r="680" spans="2:10" hidden="1" outlineLevel="1" x14ac:dyDescent="0.35">
      <c r="C680" s="1" t="s">
        <v>262</v>
      </c>
      <c r="D680" s="50" t="s">
        <v>263</v>
      </c>
      <c r="E680" s="8"/>
      <c r="F680" s="51" t="s">
        <v>256</v>
      </c>
      <c r="G680" s="15">
        <f>F678</f>
        <v>52.029399246171053</v>
      </c>
      <c r="H680" s="49"/>
    </row>
    <row r="681" spans="2:10" hidden="1" outlineLevel="1" x14ac:dyDescent="0.35">
      <c r="F681" s="51" t="s">
        <v>94</v>
      </c>
      <c r="G681" s="15">
        <f>H678</f>
        <v>57.970600753828947</v>
      </c>
    </row>
    <row r="682" spans="2:10" collapsed="1" x14ac:dyDescent="0.35"/>
    <row r="684" spans="2:10" x14ac:dyDescent="0.35">
      <c r="B684" s="16" t="s">
        <v>18</v>
      </c>
      <c r="C684" s="1" t="s">
        <v>83</v>
      </c>
    </row>
    <row r="685" spans="2:10" x14ac:dyDescent="0.35">
      <c r="C685" s="1" t="s">
        <v>84</v>
      </c>
    </row>
    <row r="686" spans="2:10" x14ac:dyDescent="0.35">
      <c r="C686" s="1" t="s">
        <v>85</v>
      </c>
    </row>
    <row r="687" spans="2:10" hidden="1" outlineLevel="1" x14ac:dyDescent="0.35"/>
    <row r="688" spans="2:10" hidden="1" outlineLevel="1" x14ac:dyDescent="0.35">
      <c r="C688" s="1" t="s">
        <v>264</v>
      </c>
    </row>
    <row r="689" spans="3:8" hidden="1" outlineLevel="1" x14ac:dyDescent="0.35">
      <c r="C689" s="4" t="s">
        <v>91</v>
      </c>
      <c r="D689" s="6">
        <v>60</v>
      </c>
    </row>
    <row r="690" spans="3:8" hidden="1" outlineLevel="1" x14ac:dyDescent="0.35">
      <c r="C690" s="4" t="s">
        <v>89</v>
      </c>
      <c r="D690" s="6">
        <v>70</v>
      </c>
    </row>
    <row r="691" spans="3:8" hidden="1" outlineLevel="1" x14ac:dyDescent="0.35">
      <c r="C691" s="4" t="s">
        <v>225</v>
      </c>
      <c r="D691" s="5">
        <v>1</v>
      </c>
      <c r="E691" s="8" t="s">
        <v>265</v>
      </c>
    </row>
    <row r="692" spans="3:8" hidden="1" outlineLevel="1" x14ac:dyDescent="0.35">
      <c r="C692" s="4" t="s">
        <v>92</v>
      </c>
      <c r="D692" s="52">
        <v>0.05</v>
      </c>
    </row>
    <row r="693" spans="3:8" hidden="1" outlineLevel="1" x14ac:dyDescent="0.35">
      <c r="C693" s="4" t="s">
        <v>243</v>
      </c>
      <c r="D693" s="10">
        <v>0.3</v>
      </c>
    </row>
    <row r="694" spans="3:8" hidden="1" outlineLevel="1" x14ac:dyDescent="0.35"/>
    <row r="695" spans="3:8" hidden="1" outlineLevel="1" x14ac:dyDescent="0.35">
      <c r="C695" s="2" t="s">
        <v>266</v>
      </c>
    </row>
    <row r="696" spans="3:8" hidden="1" outlineLevel="1" x14ac:dyDescent="0.35">
      <c r="C696" s="4" t="s">
        <v>108</v>
      </c>
      <c r="D696" s="32">
        <f>EXP($D$693*SQRT($D$691/2))</f>
        <v>1.2363111098437878</v>
      </c>
    </row>
    <row r="697" spans="3:8" hidden="1" outlineLevel="1" x14ac:dyDescent="0.35">
      <c r="C697" s="4" t="s">
        <v>98</v>
      </c>
      <c r="D697" s="32">
        <f>EXP(-$D$693*SQRT($D$691/2))</f>
        <v>0.80885789348471804</v>
      </c>
    </row>
    <row r="698" spans="3:8" hidden="1" outlineLevel="1" x14ac:dyDescent="0.35"/>
    <row r="699" spans="3:8" hidden="1" outlineLevel="1" x14ac:dyDescent="0.35">
      <c r="C699" s="1" t="s">
        <v>123</v>
      </c>
    </row>
    <row r="700" spans="3:8" hidden="1" outlineLevel="1" x14ac:dyDescent="0.35">
      <c r="C700" s="66" t="s">
        <v>106</v>
      </c>
      <c r="D700" s="67"/>
      <c r="E700" s="66" t="s">
        <v>267</v>
      </c>
      <c r="F700" s="67"/>
      <c r="G700" s="66" t="s">
        <v>268</v>
      </c>
      <c r="H700" s="67"/>
    </row>
    <row r="701" spans="3:8" hidden="1" outlineLevel="1" x14ac:dyDescent="0.35">
      <c r="C701" s="25"/>
      <c r="G701" s="2" t="s">
        <v>111</v>
      </c>
      <c r="H701" s="26"/>
    </row>
    <row r="702" spans="3:8" hidden="1" outlineLevel="1" x14ac:dyDescent="0.35">
      <c r="C702" s="25"/>
      <c r="E702" s="2" t="s">
        <v>108</v>
      </c>
      <c r="G702" s="4" t="s">
        <v>130</v>
      </c>
      <c r="H702" s="6">
        <f>F715*$D$696</f>
        <v>91.707909619390705</v>
      </c>
    </row>
    <row r="703" spans="3:8" hidden="1" outlineLevel="1" x14ac:dyDescent="0.35">
      <c r="C703" s="25"/>
      <c r="E703" s="73" t="s">
        <v>203</v>
      </c>
      <c r="F703" s="74"/>
      <c r="G703" s="12" t="s">
        <v>129</v>
      </c>
      <c r="H703" s="15">
        <f>IF(H702&lt;$D$690,$D$690-H702,0)</f>
        <v>0</v>
      </c>
    </row>
    <row r="704" spans="3:8" hidden="1" outlineLevel="1" x14ac:dyDescent="0.35">
      <c r="C704" s="25"/>
      <c r="E704" s="4" t="s">
        <v>89</v>
      </c>
      <c r="F704" s="6">
        <f>$D$690</f>
        <v>70</v>
      </c>
      <c r="H704" s="27"/>
    </row>
    <row r="705" spans="3:8" hidden="1" outlineLevel="1" x14ac:dyDescent="0.35">
      <c r="C705" s="25"/>
      <c r="E705" s="4" t="s">
        <v>151</v>
      </c>
      <c r="F705" s="6">
        <f>D724*$D$696</f>
        <v>74.178666590627273</v>
      </c>
      <c r="H705" s="27"/>
    </row>
    <row r="706" spans="3:8" hidden="1" outlineLevel="1" x14ac:dyDescent="0.35">
      <c r="C706" s="25"/>
      <c r="E706" s="12" t="s">
        <v>271</v>
      </c>
      <c r="F706" s="31">
        <f>IF(F705&lt;F704,F704-F705,0)</f>
        <v>0</v>
      </c>
      <c r="H706" s="27"/>
    </row>
    <row r="707" spans="3:8" hidden="1" outlineLevel="1" x14ac:dyDescent="0.35">
      <c r="C707" s="25"/>
      <c r="E707" s="73" t="s">
        <v>269</v>
      </c>
      <c r="F707" s="74"/>
      <c r="H707" s="27"/>
    </row>
    <row r="708" spans="3:8" hidden="1" outlineLevel="1" x14ac:dyDescent="0.35">
      <c r="C708" s="25"/>
      <c r="E708" s="4" t="s">
        <v>89</v>
      </c>
      <c r="F708" s="6">
        <f>$D$690</f>
        <v>70</v>
      </c>
      <c r="H708" s="27"/>
    </row>
    <row r="709" spans="3:8" hidden="1" outlineLevel="1" x14ac:dyDescent="0.35">
      <c r="C709" s="25"/>
      <c r="E709" s="4" t="s">
        <v>130</v>
      </c>
      <c r="F709" s="6">
        <f>H702</f>
        <v>91.707909619390705</v>
      </c>
      <c r="H709" s="27"/>
    </row>
    <row r="710" spans="3:8" hidden="1" outlineLevel="1" x14ac:dyDescent="0.35">
      <c r="C710" s="25"/>
      <c r="E710" s="4" t="s">
        <v>135</v>
      </c>
      <c r="F710" s="6">
        <f>H718</f>
        <v>60.000000000000007</v>
      </c>
      <c r="H710" s="27"/>
    </row>
    <row r="711" spans="3:8" hidden="1" outlineLevel="1" x14ac:dyDescent="0.35">
      <c r="C711" s="25"/>
      <c r="E711" s="4" t="s">
        <v>129</v>
      </c>
      <c r="F711" s="6">
        <f>H703</f>
        <v>0</v>
      </c>
      <c r="H711" s="27"/>
    </row>
    <row r="712" spans="3:8" hidden="1" outlineLevel="1" x14ac:dyDescent="0.35">
      <c r="C712" s="25"/>
      <c r="E712" s="4" t="s">
        <v>136</v>
      </c>
      <c r="F712" s="6">
        <f>H719</f>
        <v>9.9999999999999929</v>
      </c>
      <c r="H712" s="27"/>
    </row>
    <row r="713" spans="3:8" hidden="1" outlineLevel="1" x14ac:dyDescent="0.35">
      <c r="C713" s="25"/>
      <c r="E713" s="12" t="s">
        <v>124</v>
      </c>
      <c r="F713" s="56">
        <f>(F711-F712)/(F709-F710)</f>
        <v>-0.31537872158827462</v>
      </c>
      <c r="H713" s="26"/>
    </row>
    <row r="714" spans="3:8" hidden="1" outlineLevel="1" x14ac:dyDescent="0.35">
      <c r="C714" s="25"/>
      <c r="E714" s="12" t="s">
        <v>87</v>
      </c>
      <c r="F714" s="56">
        <f>(F712-F710*F713)*EXP(-$D$692*($D$691/2))</f>
        <v>28.208618712755406</v>
      </c>
      <c r="H714" s="27"/>
    </row>
    <row r="715" spans="3:8" hidden="1" outlineLevel="1" x14ac:dyDescent="0.35">
      <c r="C715" s="25"/>
      <c r="E715" s="12" t="s">
        <v>151</v>
      </c>
      <c r="F715" s="38">
        <f>F705</f>
        <v>74.178666590627273</v>
      </c>
      <c r="H715" s="27"/>
    </row>
    <row r="716" spans="3:8" hidden="1" outlineLevel="1" x14ac:dyDescent="0.35">
      <c r="C716" s="57" t="s">
        <v>155</v>
      </c>
      <c r="E716" s="12" t="s">
        <v>214</v>
      </c>
      <c r="F716" s="31">
        <f>F715*F713+F714</f>
        <v>4.8142456742805173</v>
      </c>
      <c r="H716" s="26"/>
    </row>
    <row r="717" spans="3:8" hidden="1" outlineLevel="1" x14ac:dyDescent="0.35">
      <c r="C717" s="4" t="s">
        <v>89</v>
      </c>
      <c r="D717" s="6">
        <f>$D$690</f>
        <v>70</v>
      </c>
      <c r="E717" s="69" t="s">
        <v>278</v>
      </c>
      <c r="F717" s="70"/>
      <c r="G717" s="2" t="s">
        <v>112</v>
      </c>
      <c r="H717" s="27"/>
    </row>
    <row r="718" spans="3:8" hidden="1" outlineLevel="1" x14ac:dyDescent="0.35">
      <c r="C718" s="4" t="s">
        <v>151</v>
      </c>
      <c r="D718" s="6">
        <f>F705</f>
        <v>74.178666590627273</v>
      </c>
      <c r="E718" s="71"/>
      <c r="F718" s="72"/>
      <c r="G718" s="4" t="s">
        <v>135</v>
      </c>
      <c r="H718" s="6">
        <f>F715*$D$697</f>
        <v>60.000000000000007</v>
      </c>
    </row>
    <row r="719" spans="3:8" hidden="1" outlineLevel="1" x14ac:dyDescent="0.35">
      <c r="C719" s="4" t="s">
        <v>153</v>
      </c>
      <c r="D719" s="6">
        <f>F726</f>
        <v>48.531473609083079</v>
      </c>
      <c r="G719" s="12" t="s">
        <v>136</v>
      </c>
      <c r="H719" s="15">
        <f>IF(H718&lt;$D$690,$D$690-H718,0)</f>
        <v>9.9999999999999929</v>
      </c>
    </row>
    <row r="720" spans="3:8" hidden="1" outlineLevel="1" x14ac:dyDescent="0.35">
      <c r="C720" s="4" t="s">
        <v>214</v>
      </c>
      <c r="D720" s="6">
        <f>F716</f>
        <v>4.8142456742805173</v>
      </c>
      <c r="H720" s="26"/>
    </row>
    <row r="721" spans="3:8" hidden="1" outlineLevel="1" x14ac:dyDescent="0.35">
      <c r="C721" s="4" t="s">
        <v>219</v>
      </c>
      <c r="D721" s="6">
        <f>F727</f>
        <v>21.468526390916921</v>
      </c>
      <c r="H721" s="27"/>
    </row>
    <row r="722" spans="3:8" hidden="1" outlineLevel="1" x14ac:dyDescent="0.35">
      <c r="C722" s="12" t="s">
        <v>124</v>
      </c>
      <c r="D722" s="56">
        <f>(D720-D721)/(D718-D719)</f>
        <v>-0.64936075962078499</v>
      </c>
      <c r="G722" s="2" t="s">
        <v>109</v>
      </c>
      <c r="H722" s="27"/>
    </row>
    <row r="723" spans="3:8" hidden="1" outlineLevel="1" x14ac:dyDescent="0.35">
      <c r="C723" s="12" t="s">
        <v>87</v>
      </c>
      <c r="D723" s="56">
        <f>(D721-D719*D722)*EXP(-$D$692*($D$691/2))</f>
        <v>51.674806992144447</v>
      </c>
      <c r="E723" s="2" t="s">
        <v>108</v>
      </c>
      <c r="G723" s="4" t="s">
        <v>143</v>
      </c>
      <c r="H723" s="6">
        <f>F736*$D$696</f>
        <v>60</v>
      </c>
    </row>
    <row r="724" spans="3:8" hidden="1" outlineLevel="1" x14ac:dyDescent="0.35">
      <c r="C724" s="12" t="s">
        <v>91</v>
      </c>
      <c r="D724" s="38">
        <f>D689</f>
        <v>60</v>
      </c>
      <c r="E724" s="73" t="s">
        <v>203</v>
      </c>
      <c r="F724" s="74"/>
      <c r="G724" s="12" t="s">
        <v>144</v>
      </c>
      <c r="H724" s="15">
        <f>IF(H723&lt;$D$690,$D$690-H723,0)</f>
        <v>10</v>
      </c>
    </row>
    <row r="725" spans="3:8" hidden="1" outlineLevel="1" x14ac:dyDescent="0.35">
      <c r="C725" s="12" t="s">
        <v>270</v>
      </c>
      <c r="D725" s="31">
        <f>D724*D722+D723</f>
        <v>12.71316141489735</v>
      </c>
      <c r="E725" s="4" t="s">
        <v>89</v>
      </c>
      <c r="F725" s="6">
        <f>$D$690</f>
        <v>70</v>
      </c>
      <c r="H725" s="27"/>
    </row>
    <row r="726" spans="3:8" hidden="1" outlineLevel="1" x14ac:dyDescent="0.35">
      <c r="C726" s="25"/>
      <c r="E726" s="4" t="s">
        <v>153</v>
      </c>
      <c r="F726" s="6">
        <f>D724*$D$697</f>
        <v>48.531473609083079</v>
      </c>
      <c r="H726" s="27"/>
    </row>
    <row r="727" spans="3:8" hidden="1" outlineLevel="1" x14ac:dyDescent="0.35">
      <c r="C727" s="25"/>
      <c r="E727" s="12" t="s">
        <v>219</v>
      </c>
      <c r="F727" s="31">
        <f>IF(F726&lt;F725,F725-F726,0)</f>
        <v>21.468526390916921</v>
      </c>
      <c r="H727" s="27"/>
    </row>
    <row r="728" spans="3:8" hidden="1" outlineLevel="1" x14ac:dyDescent="0.35">
      <c r="C728" s="25"/>
      <c r="E728" s="73" t="s">
        <v>269</v>
      </c>
      <c r="F728" s="74"/>
      <c r="H728" s="27"/>
    </row>
    <row r="729" spans="3:8" hidden="1" outlineLevel="1" x14ac:dyDescent="0.35">
      <c r="C729" s="25"/>
      <c r="E729" s="4" t="s">
        <v>89</v>
      </c>
      <c r="F729" s="6">
        <f>$D$690</f>
        <v>70</v>
      </c>
      <c r="H729" s="27"/>
    </row>
    <row r="730" spans="3:8" hidden="1" outlineLevel="1" x14ac:dyDescent="0.35">
      <c r="C730" s="25"/>
      <c r="E730" s="4" t="s">
        <v>143</v>
      </c>
      <c r="F730" s="6">
        <f>H723</f>
        <v>60</v>
      </c>
      <c r="H730" s="27"/>
    </row>
    <row r="731" spans="3:8" hidden="1" outlineLevel="1" x14ac:dyDescent="0.35">
      <c r="C731" s="25"/>
      <c r="E731" s="4" t="s">
        <v>149</v>
      </c>
      <c r="F731" s="6">
        <f>H739</f>
        <v>39.255065511152125</v>
      </c>
      <c r="H731" s="27"/>
    </row>
    <row r="732" spans="3:8" hidden="1" outlineLevel="1" x14ac:dyDescent="0.35">
      <c r="C732" s="25"/>
      <c r="E732" s="4" t="s">
        <v>144</v>
      </c>
      <c r="F732" s="6">
        <f>H724</f>
        <v>10</v>
      </c>
      <c r="H732" s="26"/>
    </row>
    <row r="733" spans="3:8" hidden="1" outlineLevel="1" x14ac:dyDescent="0.35">
      <c r="C733" s="25"/>
      <c r="E733" s="4" t="s">
        <v>150</v>
      </c>
      <c r="F733" s="6">
        <f>H740</f>
        <v>30.744934488847875</v>
      </c>
      <c r="H733" s="26"/>
    </row>
    <row r="734" spans="3:8" hidden="1" outlineLevel="1" x14ac:dyDescent="0.35">
      <c r="C734" s="25"/>
      <c r="E734" s="12" t="s">
        <v>124</v>
      </c>
      <c r="F734" s="56">
        <f>(F732-F733)/(F730-F731)</f>
        <v>-1</v>
      </c>
      <c r="H734" s="26"/>
    </row>
    <row r="735" spans="3:8" hidden="1" outlineLevel="1" x14ac:dyDescent="0.35">
      <c r="C735" s="25"/>
      <c r="E735" s="12" t="s">
        <v>87</v>
      </c>
      <c r="F735" s="56">
        <f>(F733-F731*F734)*EXP(-$D$692*($D$691/2))</f>
        <v>68.271693841983279</v>
      </c>
      <c r="H735" s="27"/>
    </row>
    <row r="736" spans="3:8" hidden="1" outlineLevel="1" x14ac:dyDescent="0.35">
      <c r="C736" s="25"/>
      <c r="E736" s="12" t="s">
        <v>153</v>
      </c>
      <c r="F736" s="38">
        <f>F726</f>
        <v>48.531473609083079</v>
      </c>
      <c r="H736" s="27"/>
    </row>
    <row r="737" spans="3:8" hidden="1" outlineLevel="1" x14ac:dyDescent="0.35">
      <c r="C737" s="25"/>
      <c r="E737" s="12" t="s">
        <v>154</v>
      </c>
      <c r="F737" s="31">
        <f>F736*F734+F735</f>
        <v>19.740220232900199</v>
      </c>
      <c r="H737" s="27"/>
    </row>
    <row r="738" spans="3:8" hidden="1" outlineLevel="1" x14ac:dyDescent="0.35">
      <c r="C738" s="25"/>
      <c r="E738" s="69" t="s">
        <v>279</v>
      </c>
      <c r="F738" s="70"/>
      <c r="G738" s="2" t="s">
        <v>110</v>
      </c>
      <c r="H738" s="27"/>
    </row>
    <row r="739" spans="3:8" hidden="1" outlineLevel="1" x14ac:dyDescent="0.35">
      <c r="C739" s="25"/>
      <c r="E739" s="71"/>
      <c r="F739" s="72"/>
      <c r="G739" s="4" t="s">
        <v>149</v>
      </c>
      <c r="H739" s="6">
        <f>F736*$D$697</f>
        <v>39.255065511152125</v>
      </c>
    </row>
    <row r="740" spans="3:8" hidden="1" outlineLevel="1" x14ac:dyDescent="0.35">
      <c r="C740" s="28"/>
      <c r="D740" s="29"/>
      <c r="E740" s="29"/>
      <c r="F740" s="29"/>
      <c r="G740" s="12" t="s">
        <v>150</v>
      </c>
      <c r="H740" s="15">
        <f>IF(H739&lt;$D$690,$D$690-H739,0)</f>
        <v>30.744934488847875</v>
      </c>
    </row>
    <row r="741" spans="3:8" collapsed="1" x14ac:dyDescent="0.35"/>
  </sheetData>
  <mergeCells count="52">
    <mergeCell ref="G224:H225"/>
    <mergeCell ref="G235:H236"/>
    <mergeCell ref="G246:H247"/>
    <mergeCell ref="G257:H258"/>
    <mergeCell ref="E738:F739"/>
    <mergeCell ref="E566:F567"/>
    <mergeCell ref="E573:F573"/>
    <mergeCell ref="E577:F577"/>
    <mergeCell ref="E587:F588"/>
    <mergeCell ref="E703:F703"/>
    <mergeCell ref="E707:F707"/>
    <mergeCell ref="E717:F718"/>
    <mergeCell ref="E724:F724"/>
    <mergeCell ref="E728:F728"/>
    <mergeCell ref="C549:D549"/>
    <mergeCell ref="E549:F549"/>
    <mergeCell ref="G549:H549"/>
    <mergeCell ref="E552:F552"/>
    <mergeCell ref="E556:F556"/>
    <mergeCell ref="C608:D608"/>
    <mergeCell ref="C700:D700"/>
    <mergeCell ref="E700:F700"/>
    <mergeCell ref="G700:H700"/>
    <mergeCell ref="C146:D146"/>
    <mergeCell ref="E146:F146"/>
    <mergeCell ref="G146:H146"/>
    <mergeCell ref="C345:D345"/>
    <mergeCell ref="E345:F345"/>
    <mergeCell ref="G345:H345"/>
    <mergeCell ref="C515:D515"/>
    <mergeCell ref="E515:F515"/>
    <mergeCell ref="G515:H515"/>
    <mergeCell ref="C597:E597"/>
    <mergeCell ref="G597:I597"/>
    <mergeCell ref="C604:D604"/>
    <mergeCell ref="C278:D278"/>
    <mergeCell ref="E278:F278"/>
    <mergeCell ref="G278:H278"/>
    <mergeCell ref="I278:J278"/>
    <mergeCell ref="C461:D461"/>
    <mergeCell ref="E461:F461"/>
    <mergeCell ref="I345:J345"/>
    <mergeCell ref="E365:F366"/>
    <mergeCell ref="E392:F393"/>
    <mergeCell ref="C87:D87"/>
    <mergeCell ref="E87:F87"/>
    <mergeCell ref="G87:H87"/>
    <mergeCell ref="I87:J87"/>
    <mergeCell ref="C216:D216"/>
    <mergeCell ref="E216:F216"/>
    <mergeCell ref="G216:H216"/>
    <mergeCell ref="I146:J14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Solutions &gt;</vt:lpstr>
      <vt:lpstr>Set 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Marques, G.</dc:creator>
  <cp:lastModifiedBy>Martijn Boons</cp:lastModifiedBy>
  <dcterms:created xsi:type="dcterms:W3CDTF">2021-09-12T21:15:28Z</dcterms:created>
  <dcterms:modified xsi:type="dcterms:W3CDTF">2025-01-07T14:02:46Z</dcterms:modified>
</cp:coreProperties>
</file>