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Weekly exercise sets\"/>
    </mc:Choice>
  </mc:AlternateContent>
  <xr:revisionPtr revIDLastSave="0" documentId="13_ncr:1_{00DB768F-B9FF-4C16-A80B-C5A9D08A5228}" xr6:coauthVersionLast="47" xr6:coauthVersionMax="47" xr10:uidLastSave="{00000000-0000-0000-0000-000000000000}"/>
  <bookViews>
    <workbookView xWindow="-110" yWindow="-110" windowWidth="25180" windowHeight="16140" tabRatio="782" activeTab="1" xr2:uid="{664E6C5A-28FF-44C3-8C99-443408E34737}"/>
  </bookViews>
  <sheets>
    <sheet name="Solutions &gt;" sheetId="8" r:id="rId1"/>
    <sheet name="Set 6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olver_adj" localSheetId="1" hidden="1">'Set 6'!$D$110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'Set 6'!$D$113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964.8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1" i="1"/>
  <c r="L43" i="1"/>
  <c r="L42" i="1"/>
  <c r="L33" i="1"/>
  <c r="L35" i="1"/>
  <c r="L34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D50" i="1"/>
  <c r="D51" i="1"/>
  <c r="D49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D43" i="1"/>
  <c r="D42" i="1"/>
  <c r="D41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D34" i="1"/>
  <c r="D35" i="1"/>
  <c r="D33" i="1"/>
  <c r="F12" i="1"/>
  <c r="E12" i="1"/>
  <c r="D12" i="1"/>
  <c r="J43" i="1" l="1"/>
  <c r="D60" i="1" s="1"/>
  <c r="J51" i="1"/>
  <c r="J42" i="1"/>
  <c r="D59" i="1" s="1"/>
  <c r="J50" i="1"/>
  <c r="J49" i="1"/>
  <c r="J41" i="1"/>
  <c r="D58" i="1" s="1"/>
  <c r="J34" i="1"/>
  <c r="J35" i="1"/>
  <c r="J33" i="1"/>
  <c r="D14" i="1"/>
  <c r="D314" i="1"/>
  <c r="D313" i="1"/>
  <c r="E306" i="1"/>
  <c r="F299" i="1"/>
  <c r="G292" i="1"/>
  <c r="H278" i="1"/>
  <c r="E270" i="1"/>
  <c r="F270" i="1"/>
  <c r="G270" i="1"/>
  <c r="H270" i="1"/>
  <c r="D270" i="1"/>
  <c r="I227" i="1"/>
  <c r="I261" i="1"/>
  <c r="D255" i="1"/>
  <c r="E260" i="1" s="1"/>
  <c r="E323" i="1" s="1"/>
  <c r="E330" i="1" s="1"/>
  <c r="H247" i="1"/>
  <c r="G247" i="1"/>
  <c r="F247" i="1"/>
  <c r="E247" i="1"/>
  <c r="D247" i="1"/>
  <c r="E215" i="1"/>
  <c r="F215" i="1"/>
  <c r="G215" i="1"/>
  <c r="H215" i="1"/>
  <c r="D215" i="1"/>
  <c r="D221" i="1"/>
  <c r="D182" i="1"/>
  <c r="D185" i="1"/>
  <c r="F154" i="1"/>
  <c r="E154" i="1"/>
  <c r="D154" i="1"/>
  <c r="D156" i="1" s="1"/>
  <c r="D163" i="1" s="1"/>
  <c r="F142" i="1"/>
  <c r="E142" i="1"/>
  <c r="D142" i="1"/>
  <c r="D144" i="1" s="1"/>
  <c r="D161" i="1" s="1"/>
  <c r="D169" i="1" s="1"/>
  <c r="F133" i="1"/>
  <c r="F143" i="1" s="1"/>
  <c r="E133" i="1"/>
  <c r="E143" i="1" s="1"/>
  <c r="F114" i="1"/>
  <c r="F116" i="1" s="1"/>
  <c r="G114" i="1"/>
  <c r="E114" i="1"/>
  <c r="E118" i="1" s="1"/>
  <c r="G115" i="1"/>
  <c r="F91" i="1"/>
  <c r="F93" i="1" s="1"/>
  <c r="G91" i="1"/>
  <c r="E91" i="1"/>
  <c r="E93" i="1" s="1"/>
  <c r="G92" i="1"/>
  <c r="E68" i="1"/>
  <c r="E69" i="1"/>
  <c r="E70" i="1"/>
  <c r="E67" i="1"/>
  <c r="H67" i="1" s="1"/>
  <c r="H68" i="1" s="1"/>
  <c r="D186" i="1" l="1"/>
  <c r="D187" i="1" s="1"/>
  <c r="D189" i="1" s="1"/>
  <c r="H226" i="1"/>
  <c r="H228" i="1" s="1"/>
  <c r="D231" i="1"/>
  <c r="F272" i="1"/>
  <c r="E293" i="1" s="1"/>
  <c r="E331" i="1"/>
  <c r="D312" i="1"/>
  <c r="D315" i="1" s="1"/>
  <c r="D316" i="1" s="1"/>
  <c r="G313" i="1" s="1"/>
  <c r="H305" i="1"/>
  <c r="E291" i="1"/>
  <c r="E305" i="1"/>
  <c r="F291" i="1"/>
  <c r="E298" i="1"/>
  <c r="H272" i="1"/>
  <c r="G293" i="1" s="1"/>
  <c r="F298" i="1"/>
  <c r="I298" i="1"/>
  <c r="J291" i="1"/>
  <c r="G291" i="1"/>
  <c r="F260" i="1"/>
  <c r="D284" i="1"/>
  <c r="G272" i="1"/>
  <c r="F293" i="1" s="1"/>
  <c r="I226" i="1"/>
  <c r="I228" i="1" s="1"/>
  <c r="G273" i="1"/>
  <c r="E300" i="1" s="1"/>
  <c r="E277" i="1"/>
  <c r="G271" i="1"/>
  <c r="G279" i="1" s="1"/>
  <c r="H277" i="1"/>
  <c r="I260" i="1"/>
  <c r="I262" i="1" s="1"/>
  <c r="E271" i="1"/>
  <c r="E279" i="1" s="1"/>
  <c r="G277" i="1"/>
  <c r="F277" i="1"/>
  <c r="E262" i="1"/>
  <c r="H260" i="1"/>
  <c r="H262" i="1" s="1"/>
  <c r="H273" i="1"/>
  <c r="F300" i="1" s="1"/>
  <c r="G260" i="1"/>
  <c r="H271" i="1"/>
  <c r="H279" i="1" s="1"/>
  <c r="H274" i="1"/>
  <c r="E307" i="1" s="1"/>
  <c r="F271" i="1"/>
  <c r="E226" i="1"/>
  <c r="E228" i="1" s="1"/>
  <c r="F226" i="1"/>
  <c r="F228" i="1" s="1"/>
  <c r="G226" i="1"/>
  <c r="G228" i="1" s="1"/>
  <c r="E162" i="1"/>
  <c r="E155" i="1"/>
  <c r="E156" i="1" s="1"/>
  <c r="E163" i="1" s="1"/>
  <c r="D164" i="1"/>
  <c r="D170" i="1"/>
  <c r="D171" i="1" s="1"/>
  <c r="F155" i="1"/>
  <c r="F156" i="1" s="1"/>
  <c r="F163" i="1" s="1"/>
  <c r="F162" i="1"/>
  <c r="F118" i="1"/>
  <c r="G118" i="1" s="1"/>
  <c r="D120" i="1" s="1"/>
  <c r="D121" i="1" s="1"/>
  <c r="F144" i="1"/>
  <c r="F161" i="1" s="1"/>
  <c r="E144" i="1"/>
  <c r="E161" i="1" s="1"/>
  <c r="G116" i="1"/>
  <c r="E116" i="1"/>
  <c r="G93" i="1"/>
  <c r="D90" i="1" s="1"/>
  <c r="H69" i="1"/>
  <c r="H70" i="1" s="1"/>
  <c r="D113" i="1" l="1"/>
  <c r="E294" i="1"/>
  <c r="D338" i="1"/>
  <c r="F279" i="1"/>
  <c r="F280" i="1" s="1"/>
  <c r="D337" i="1"/>
  <c r="G331" i="1" s="1"/>
  <c r="F262" i="1"/>
  <c r="F323" i="1"/>
  <c r="F330" i="1" s="1"/>
  <c r="F332" i="1" s="1"/>
  <c r="G262" i="1"/>
  <c r="G323" i="1"/>
  <c r="G330" i="1" s="1"/>
  <c r="F294" i="1"/>
  <c r="G294" i="1"/>
  <c r="E308" i="1"/>
  <c r="D309" i="1" s="1"/>
  <c r="F301" i="1"/>
  <c r="E301" i="1"/>
  <c r="H280" i="1"/>
  <c r="G280" i="1"/>
  <c r="E280" i="1"/>
  <c r="D229" i="1"/>
  <c r="E164" i="1"/>
  <c r="F169" i="1"/>
  <c r="F164" i="1"/>
  <c r="F170" i="1"/>
  <c r="E170" i="1"/>
  <c r="E169" i="1"/>
  <c r="D263" i="1" l="1"/>
  <c r="D283" i="1" s="1"/>
  <c r="G332" i="1"/>
  <c r="D295" i="1"/>
  <c r="J292" i="1" s="1"/>
  <c r="H306" i="1"/>
  <c r="G311" i="1"/>
  <c r="G314" i="1" s="1"/>
  <c r="D302" i="1"/>
  <c r="D281" i="1"/>
  <c r="E171" i="1"/>
  <c r="F171" i="1"/>
  <c r="I297" i="1" l="1"/>
  <c r="D322" i="1"/>
  <c r="D329" i="1" s="1"/>
  <c r="H304" i="1"/>
  <c r="H307" i="1" s="1"/>
  <c r="G324" i="1"/>
  <c r="I299" i="1"/>
  <c r="D285" i="1"/>
  <c r="D286" i="1" s="1"/>
  <c r="J290" i="1"/>
  <c r="J293" i="1" s="1"/>
  <c r="I300" i="1" l="1"/>
  <c r="G325" i="1"/>
  <c r="G333" i="1"/>
  <c r="G334" i="1" s="1"/>
</calcChain>
</file>

<file path=xl/sharedStrings.xml><?xml version="1.0" encoding="utf-8"?>
<sst xmlns="http://schemas.openxmlformats.org/spreadsheetml/2006/main" count="345" uniqueCount="177">
  <si>
    <t>1.</t>
  </si>
  <si>
    <t>The following is a list of prices for zero-coupon bonds of various maturities.</t>
  </si>
  <si>
    <t>Calculate the yields to maturity of each bond and the implied sequence of forward rates.</t>
  </si>
  <si>
    <t>Price of Bond</t>
  </si>
  <si>
    <t>Maturity (years)</t>
  </si>
  <si>
    <t>YTM</t>
  </si>
  <si>
    <t>Principal</t>
  </si>
  <si>
    <t>Forward Rates</t>
  </si>
  <si>
    <t>R fwd (0,1)</t>
  </si>
  <si>
    <t>R fwd (3,4)</t>
  </si>
  <si>
    <t>R fwd (2,3)</t>
  </si>
  <si>
    <t>R fwd (1,2)</t>
  </si>
  <si>
    <t>2.</t>
  </si>
  <si>
    <t>Consider the following spot and forward rates:</t>
  </si>
  <si>
    <t>One-year forward rate two years from today</t>
  </si>
  <si>
    <t>One-year forward rate one year from today</t>
  </si>
  <si>
    <t>1y Spot</t>
  </si>
  <si>
    <t>What is the price of a 3-year bond that has a 5% coupon rate paid annually and a face value of $1000?</t>
  </si>
  <si>
    <t>Coupon rate</t>
  </si>
  <si>
    <t>Coupon periodicity</t>
  </si>
  <si>
    <t>Annual</t>
  </si>
  <si>
    <t>Cash Flow Map</t>
  </si>
  <si>
    <t>Year 0</t>
  </si>
  <si>
    <t>Year 1</t>
  </si>
  <si>
    <t>Year 2</t>
  </si>
  <si>
    <t>Year 3</t>
  </si>
  <si>
    <t>Bond Price</t>
  </si>
  <si>
    <t>Coupon Payments</t>
  </si>
  <si>
    <t>PV of Bond CF</t>
  </si>
  <si>
    <t>3.</t>
  </si>
  <si>
    <t>Discount Rates</t>
  </si>
  <si>
    <t>Bond Cash Flow Map:</t>
  </si>
  <si>
    <t>can be obtained using Goal Seek or Solver features</t>
  </si>
  <si>
    <t>R year 1 (0-1)</t>
  </si>
  <si>
    <t>R year 2 (1-2)</t>
  </si>
  <si>
    <t>R year 3 (2-3)</t>
  </si>
  <si>
    <t>Cumulative Realized Value (at the end of the year)</t>
  </si>
  <si>
    <t>Total Realized Return</t>
  </si>
  <si>
    <t>Realized Compound Return</t>
  </si>
  <si>
    <t>4.</t>
  </si>
  <si>
    <t>Assume you have a one-year investment horizon and are trying to choose among three bonds.</t>
  </si>
  <si>
    <t>All the bonds have the same degree of default risk and mature in 8 years.</t>
  </si>
  <si>
    <t>The first is a zero-coupon bond that pays €1000 at maturity.</t>
  </si>
  <si>
    <t>The second has an 7% coupon rate and pays €70 coupon once per year.</t>
  </si>
  <si>
    <t>The third has a 8% coupon rate and pays €80 coupon once per year.</t>
  </si>
  <si>
    <t>Bond A</t>
  </si>
  <si>
    <t>Bond B</t>
  </si>
  <si>
    <t xml:space="preserve">Bond </t>
  </si>
  <si>
    <t>Coupon Rate</t>
  </si>
  <si>
    <t>Periodicity</t>
  </si>
  <si>
    <t>Coupon</t>
  </si>
  <si>
    <t>----</t>
  </si>
  <si>
    <t>If all three bonds are now priced at yield to maturity of 6%, what are their prices?</t>
  </si>
  <si>
    <t>c.</t>
  </si>
  <si>
    <t>b.</t>
  </si>
  <si>
    <t>a.</t>
  </si>
  <si>
    <t>d.</t>
  </si>
  <si>
    <t>What is your holding period return on each bond if the investment horizon is 1 year?</t>
  </si>
  <si>
    <t>Decompose the holding period return, over the first year, into return coming from the coupon (current yield) and price changes (capital gain)</t>
  </si>
  <si>
    <t>PV of Principal</t>
  </si>
  <si>
    <t>PV of Coupons</t>
  </si>
  <si>
    <t>If you expect their yields to maturity to be 10% at the beginning of next year, what will their prices be then?</t>
  </si>
  <si>
    <t>Assume you are computing the prices after coupons have been paid.</t>
  </si>
  <si>
    <t>Present date</t>
  </si>
  <si>
    <t>Maturity (remaining)</t>
  </si>
  <si>
    <t>Bond Price year 0</t>
  </si>
  <si>
    <t>Coupon year 1</t>
  </si>
  <si>
    <t>Bond Price year 1</t>
  </si>
  <si>
    <t>Holding Period Ret.</t>
  </si>
  <si>
    <t>(initial investment)</t>
  </si>
  <si>
    <t>Capital Gains</t>
  </si>
  <si>
    <t>Current Yield Gains</t>
  </si>
  <si>
    <t>5.</t>
  </si>
  <si>
    <t>What is the current yield of this bond?</t>
  </si>
  <si>
    <t>Note: A bond's current yield is defined as the ratio between the investment's annual income (including interest payments and, if any, dividends payments) and the current price of the security.</t>
  </si>
  <si>
    <t>A coupon bond pays annual interest, has a par value of $1,000, matures in 5 years, has a coupon rate of 10% and has a YTM of 11%.</t>
  </si>
  <si>
    <t>Formula of PV of an Annuity that pays annually $100 for 5 years; discounted at YTM</t>
  </si>
  <si>
    <t>Formula of PV of an Annuity that pays annually coupon for 8 years; discounted at YTM</t>
  </si>
  <si>
    <t>Bond C</t>
  </si>
  <si>
    <t>Current Yield</t>
  </si>
  <si>
    <t>No changes to the YTM are expected, implying that the annual income from the bond is equal to its coupon</t>
  </si>
  <si>
    <t>6.</t>
  </si>
  <si>
    <t>e.</t>
  </si>
  <si>
    <t>Positively related</t>
  </si>
  <si>
    <t>Negatively related</t>
  </si>
  <si>
    <t>Sometimes positively and sometimes negatively related</t>
  </si>
  <si>
    <t>Not related</t>
  </si>
  <si>
    <t>Indefinitely related</t>
  </si>
  <si>
    <t>Ceteris paribus, the price and yield on a bond are:</t>
  </si>
  <si>
    <t>A coupon bond that pays interest annually is selling at par of $1,000, matures in 5 years and has a coupon rate of 10%.</t>
  </si>
  <si>
    <t>The YTM on this bond is:</t>
  </si>
  <si>
    <t xml:space="preserve">8.0% </t>
  </si>
  <si>
    <t>None of the options above</t>
  </si>
  <si>
    <t>10.0%</t>
  </si>
  <si>
    <t>9.0%</t>
  </si>
  <si>
    <t xml:space="preserve">8.3% </t>
  </si>
  <si>
    <t>&gt;&gt; as the YTM increases, bond price decreases (and vice-versa)</t>
  </si>
  <si>
    <t>&gt;&gt; a bond selling at par value means that the price of it is equal to the principal value</t>
  </si>
  <si>
    <t>Strip Price</t>
  </si>
  <si>
    <t>8.</t>
  </si>
  <si>
    <t>What is the yield to maturity (YTM) of a 5-year coupon bond with a coupon rate of 5% paid annually?</t>
  </si>
  <si>
    <t>Coupons</t>
  </si>
  <si>
    <t>PV of Cash Flows</t>
  </si>
  <si>
    <t>Spot Rates (R 0,n)</t>
  </si>
  <si>
    <t>The yield to maturity is not the same as the expected return in each year over the life of a bond except when one holds a zero-coupon bond until maturity.</t>
  </si>
  <si>
    <t>Expected return depends on yield of bonds with shorter maturities, which for coupon bonds means the rate at which coupons can be reinvested.</t>
  </si>
  <si>
    <t>We explore this in the following set of questions. Assume the expectations hypothesis of the term structure is correct</t>
  </si>
  <si>
    <t>Compute the spot rates from the strip prices.</t>
  </si>
  <si>
    <t>What is the no-arbitrage price of a 5-year coupon bond paying 5% annually with a par value of €1000?</t>
  </si>
  <si>
    <t>Compute the expected return if you purchase the coupon bond at the no-arbitrage price and expect to hold it for one year.</t>
  </si>
  <si>
    <t>In other words, what is the expected return after the 1st year?</t>
  </si>
  <si>
    <t>Fwd Rates (R 1,n)</t>
  </si>
  <si>
    <t>Fwd Rates (R 2,n)</t>
  </si>
  <si>
    <t>Fwd Rates (R 3,n)</t>
  </si>
  <si>
    <t>Fwd Rates (R 4,n)</t>
  </si>
  <si>
    <t>Repeat c for the 2nd, 3rd, 4th and 5th years if you similarly buy at the beginning of the year and expect to hold the bond for only one year</t>
  </si>
  <si>
    <t>After 1 year</t>
  </si>
  <si>
    <t>Coupons Received</t>
  </si>
  <si>
    <t>After 2 years</t>
  </si>
  <si>
    <t>Bond Price year 2</t>
  </si>
  <si>
    <t>After 3 years</t>
  </si>
  <si>
    <t>After 4 years</t>
  </si>
  <si>
    <t>Bond Price year 5</t>
  </si>
  <si>
    <t>Bond Price year 4</t>
  </si>
  <si>
    <t>Bond Price year 3</t>
  </si>
  <si>
    <t>What is the expected return if you buy the bond at time 0 and plan to sell in 3 years’ time?</t>
  </si>
  <si>
    <t>Expected Return</t>
  </si>
  <si>
    <t>Reivestment Rates</t>
  </si>
  <si>
    <t>Fwd Rate (1,3)</t>
  </si>
  <si>
    <t>Fwd Rate (2,3)</t>
  </si>
  <si>
    <t>Reinvesting coupons</t>
  </si>
  <si>
    <t>Without reinvesting coupons</t>
  </si>
  <si>
    <t xml:space="preserve">     this happens when YTM is equal to the coupon rate (for annual coupons)</t>
  </si>
  <si>
    <t>&gt;&gt;&gt;</t>
  </si>
  <si>
    <t>Solutions &gt;&gt;&gt;</t>
  </si>
  <si>
    <t>Set Value to</t>
  </si>
  <si>
    <t>Solve for implied spot rates from the given strip prices.</t>
  </si>
  <si>
    <t>Use the implied spot rates to find the price of the coupon bond by discounting the relevant cashflows</t>
  </si>
  <si>
    <t>Use solver to find a yield to maturity that discounts all the cashflows of the bond such that the PV of CF under the yield is equal to the PV under the spot rates.</t>
  </si>
  <si>
    <t>once it is received, the 50€ coupon will be immediately reinvested at Fwd Rate (1,3) to generate interest at the end of year 3</t>
  </si>
  <si>
    <t>once it is received, the 50€ coupon will be immediately reinvested at Fwd Rate (2,3) to generate interest at the end of year 3</t>
  </si>
  <si>
    <t>coupon cash flows from the bond</t>
  </si>
  <si>
    <t>Coupon year 1 + Return on Investment</t>
  </si>
  <si>
    <t>Coupon year 2 + Return on Investment</t>
  </si>
  <si>
    <t>Solutions</t>
  </si>
  <si>
    <t>Your company purchased the logging rights for a forest for the next 2 years by $3M.</t>
  </si>
  <si>
    <t>If the area is logged, your company will receive $2M in 1 year and $2.5M in 2 years.</t>
  </si>
  <si>
    <t>What is the NPV of the project?</t>
  </si>
  <si>
    <t>Consider a 6% discount rate</t>
  </si>
  <si>
    <t>Years</t>
  </si>
  <si>
    <t>Cash flows (in $M)</t>
  </si>
  <si>
    <t>NPV (in $M)</t>
  </si>
  <si>
    <t>Discounted CFs (in $M)</t>
  </si>
  <si>
    <t>Discount rate</t>
  </si>
  <si>
    <t>7.</t>
  </si>
  <si>
    <t xml:space="preserve">9. </t>
  </si>
  <si>
    <t>10.</t>
  </si>
  <si>
    <t>11.</t>
  </si>
  <si>
    <t>Projects</t>
  </si>
  <si>
    <t>A</t>
  </si>
  <si>
    <t>B</t>
  </si>
  <si>
    <t>C</t>
  </si>
  <si>
    <t>Consider the following projects and the respective cash flows:</t>
  </si>
  <si>
    <t>Calculate the NPV of each project with a discount rate equal to: i) 10% , ii) 20%, iii) 35%</t>
  </si>
  <si>
    <t>Discounted CFs</t>
  </si>
  <si>
    <t>NPV</t>
  </si>
  <si>
    <t>Recall that teh CF at year 0 represents the project investment</t>
  </si>
  <si>
    <r>
      <t xml:space="preserve">Alternative: </t>
    </r>
    <r>
      <rPr>
        <sz val="11"/>
        <color theme="1"/>
        <rFont val="Calibri"/>
        <family val="2"/>
      </rPr>
      <t>using Excel NPV formula</t>
    </r>
  </si>
  <si>
    <t>Which projects would you invest in assuming you had no capital restriction and considering a 20% discount rate?</t>
  </si>
  <si>
    <t>&gt;&gt;</t>
  </si>
  <si>
    <t>Invest in projects with positive NPV</t>
  </si>
  <si>
    <t xml:space="preserve">Consider a 9% coupon bond selling today for $964.8, with 3 years until maturity making annual coupon payments. </t>
  </si>
  <si>
    <t>Calculate the yield to maturity.</t>
  </si>
  <si>
    <t>After reaching maturity, you look back to the bond that you bought 3 years ago and are interested in knowing how well it performed.</t>
  </si>
  <si>
    <t>During this 3-year period, the observed 1-year interest rates were: r1=6%, r2=8%, and r3=9%, where r1 corresponds to the rate observed at beginning of year 0 (for the period 0-1y), r2 in the beginning of year 1 (for the period 1-2y) and r3 in the beginning of year 2y (for the period 2-3y).</t>
  </si>
  <si>
    <t>Calculate the realized compound return of the bond (i.e. assuming you reinvested the coupons).</t>
  </si>
  <si>
    <t>Observed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</si>
</sst>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409]#,##0.00"/>
    <numFmt numFmtId="165" formatCode="[$$-409]#,##0.000000"/>
    <numFmt numFmtId="166" formatCode="#,##0.00\ &quot;€&quot;"/>
    <numFmt numFmtId="167" formatCode="[$$-409]#,##0.0000"/>
    <numFmt numFmtId="168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10" fontId="2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5" borderId="0" xfId="0" applyFont="1" applyFill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67" fontId="0" fillId="0" borderId="1" xfId="0" applyNumberFormat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168" fontId="2" fillId="2" borderId="1" xfId="1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4" fillId="0" borderId="0" xfId="1" applyNumberFormat="1" applyFont="1" applyFill="1" applyBorder="1" applyAlignment="1">
      <alignment vertical="center"/>
    </xf>
    <xf numFmtId="10" fontId="4" fillId="0" borderId="0" xfId="0" applyNumberFormat="1" applyFont="1" applyAlignment="1">
      <alignment vertical="center"/>
    </xf>
    <xf numFmtId="43" fontId="6" fillId="0" borderId="0" xfId="2" applyFont="1" applyFill="1" applyBorder="1" applyAlignment="1">
      <alignment vertical="center"/>
    </xf>
    <xf numFmtId="43" fontId="6" fillId="0" borderId="0" xfId="3" applyNumberFormat="1" applyFont="1" applyAlignment="1">
      <alignment vertical="center"/>
    </xf>
    <xf numFmtId="10" fontId="6" fillId="0" borderId="0" xfId="4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0" fontId="7" fillId="0" borderId="1" xfId="4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6">
    <cellStyle name="Comma 2" xfId="2" xr:uid="{A7DC269D-EF9C-4FD8-8BDF-A92156FED3E6}"/>
    <cellStyle name="Comma 2 2" xfId="5" xr:uid="{ECDC0EE2-13D7-4818-A8D3-E83A6F7A4899}"/>
    <cellStyle name="Normal" xfId="0" builtinId="0"/>
    <cellStyle name="Normal 2" xfId="3" xr:uid="{0BED6302-F4F9-44A6-A7FB-B6F5B4FAE99B}"/>
    <cellStyle name="Per cent" xfId="1" builtinId="5"/>
    <cellStyle name="Percent 2" xfId="4" xr:uid="{924E495C-4C8B-4F5B-82A3-7C5B34FA4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3612-132F-4DCC-96F2-D8918757A912}">
  <sheetPr>
    <tabColor theme="0" tint="-0.249977111117893"/>
  </sheetPr>
  <dimension ref="A1:F7"/>
  <sheetViews>
    <sheetView showGridLines="0" workbookViewId="0"/>
  </sheetViews>
  <sheetFormatPr defaultColWidth="0" defaultRowHeight="14.5" customHeight="1" zeroHeight="1" x14ac:dyDescent="0.35"/>
  <cols>
    <col min="1" max="6" width="8.81640625" customWidth="1"/>
    <col min="7" max="16384" width="8.81640625" hidden="1"/>
  </cols>
  <sheetData>
    <row r="1" spans="1:6" x14ac:dyDescent="0.35">
      <c r="A1" s="48"/>
      <c r="B1" s="48"/>
      <c r="C1" s="48"/>
      <c r="D1" s="48"/>
      <c r="E1" s="48"/>
      <c r="F1" s="48"/>
    </row>
    <row r="2" spans="1:6" x14ac:dyDescent="0.35">
      <c r="A2" s="48"/>
      <c r="B2" s="48"/>
      <c r="C2" s="48"/>
      <c r="D2" s="48"/>
      <c r="E2" s="48"/>
      <c r="F2" s="48"/>
    </row>
    <row r="3" spans="1:6" ht="18.5" x14ac:dyDescent="0.35">
      <c r="A3" s="48"/>
      <c r="B3" s="49" t="s">
        <v>134</v>
      </c>
      <c r="C3" s="48"/>
      <c r="D3" s="48"/>
      <c r="E3" s="48"/>
      <c r="F3" s="48"/>
    </row>
    <row r="4" spans="1:6" x14ac:dyDescent="0.35">
      <c r="A4" s="48"/>
      <c r="B4" s="48"/>
      <c r="C4" s="48"/>
      <c r="D4" s="48"/>
      <c r="E4" s="48"/>
      <c r="F4" s="48"/>
    </row>
    <row r="5" spans="1:6" x14ac:dyDescent="0.35">
      <c r="A5" s="48"/>
      <c r="B5" s="48"/>
      <c r="C5" s="48"/>
      <c r="D5" s="48"/>
      <c r="E5" s="48"/>
      <c r="F5" s="48"/>
    </row>
    <row r="6" spans="1:6" x14ac:dyDescent="0.35">
      <c r="A6" s="48"/>
      <c r="B6" s="48"/>
      <c r="C6" s="48"/>
      <c r="D6" s="48"/>
      <c r="E6" s="48"/>
      <c r="F6" s="48"/>
    </row>
    <row r="7" spans="1:6" x14ac:dyDescent="0.35">
      <c r="A7" s="48"/>
      <c r="B7" s="48"/>
      <c r="C7" s="48"/>
      <c r="D7" s="48"/>
      <c r="E7" s="48"/>
      <c r="F7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50A3-071C-4A2B-86FC-62ED76B80A91}">
  <sheetPr>
    <tabColor theme="0"/>
  </sheetPr>
  <dimension ref="B2:M338"/>
  <sheetViews>
    <sheetView showGridLines="0" tabSelected="1" zoomScale="110" zoomScaleNormal="110" workbookViewId="0">
      <selection activeCell="F77" sqref="F77"/>
    </sheetView>
  </sheetViews>
  <sheetFormatPr defaultColWidth="8.81640625" defaultRowHeight="14.5" outlineLevelRow="1" x14ac:dyDescent="0.35"/>
  <cols>
    <col min="1" max="1" width="3.6328125" style="1" customWidth="1"/>
    <col min="2" max="2" width="3" style="2" customWidth="1"/>
    <col min="3" max="3" width="21.36328125" style="1" customWidth="1"/>
    <col min="4" max="10" width="18.08984375" style="1" customWidth="1"/>
    <col min="11" max="16384" width="8.81640625" style="1"/>
  </cols>
  <sheetData>
    <row r="2" spans="2:13" ht="18.5" x14ac:dyDescent="0.35">
      <c r="B2" s="3" t="s">
        <v>144</v>
      </c>
    </row>
    <row r="4" spans="2:13" x14ac:dyDescent="0.35">
      <c r="K4" s="60"/>
      <c r="L4" s="60"/>
      <c r="M4" s="60"/>
    </row>
    <row r="5" spans="2:13" x14ac:dyDescent="0.35">
      <c r="B5" s="42" t="s">
        <v>0</v>
      </c>
      <c r="C5" s="1" t="s">
        <v>145</v>
      </c>
      <c r="K5" s="60"/>
      <c r="L5" s="60"/>
      <c r="M5" s="60"/>
    </row>
    <row r="6" spans="2:13" x14ac:dyDescent="0.35">
      <c r="C6" s="1" t="s">
        <v>146</v>
      </c>
      <c r="K6" s="60"/>
      <c r="L6" s="60"/>
      <c r="M6" s="60"/>
    </row>
    <row r="7" spans="2:13" x14ac:dyDescent="0.35">
      <c r="C7" s="1" t="s">
        <v>147</v>
      </c>
      <c r="K7" s="60"/>
      <c r="L7" s="60"/>
      <c r="M7" s="60"/>
    </row>
    <row r="8" spans="2:13" x14ac:dyDescent="0.35">
      <c r="C8" s="1" t="s">
        <v>148</v>
      </c>
      <c r="K8" s="60"/>
      <c r="L8" s="60"/>
      <c r="M8" s="60"/>
    </row>
    <row r="9" spans="2:13" x14ac:dyDescent="0.35">
      <c r="K9" s="60"/>
      <c r="L9" s="60"/>
      <c r="M9" s="60"/>
    </row>
    <row r="10" spans="2:13" hidden="1" outlineLevel="1" x14ac:dyDescent="0.35">
      <c r="C10" s="52" t="s">
        <v>149</v>
      </c>
      <c r="D10" s="20">
        <v>0</v>
      </c>
      <c r="E10" s="20">
        <v>1</v>
      </c>
      <c r="F10" s="20">
        <v>2</v>
      </c>
      <c r="K10" s="60"/>
      <c r="L10" s="60"/>
      <c r="M10" s="60"/>
    </row>
    <row r="11" spans="2:13" hidden="1" outlineLevel="1" x14ac:dyDescent="0.35">
      <c r="C11" s="52" t="s">
        <v>150</v>
      </c>
      <c r="D11" s="53">
        <v>-3</v>
      </c>
      <c r="E11" s="53">
        <v>2</v>
      </c>
      <c r="F11" s="53">
        <v>2.5</v>
      </c>
      <c r="K11" s="60"/>
      <c r="L11" s="60"/>
      <c r="M11" s="60"/>
    </row>
    <row r="12" spans="2:13" hidden="1" outlineLevel="1" x14ac:dyDescent="0.35">
      <c r="C12" s="52" t="s">
        <v>152</v>
      </c>
      <c r="D12" s="53">
        <f>D11</f>
        <v>-3</v>
      </c>
      <c r="E12" s="53">
        <f>E11/(1+$D$16)^E10</f>
        <v>1.8867924528301885</v>
      </c>
      <c r="F12" s="53">
        <f>F11/(1+$D$16)^F10</f>
        <v>2.2249911000355995</v>
      </c>
      <c r="K12" s="60"/>
      <c r="L12" s="60"/>
      <c r="M12" s="60"/>
    </row>
    <row r="13" spans="2:13" hidden="1" outlineLevel="1" x14ac:dyDescent="0.35">
      <c r="K13" s="60"/>
      <c r="L13" s="60"/>
      <c r="M13" s="60"/>
    </row>
    <row r="14" spans="2:13" hidden="1" outlineLevel="1" x14ac:dyDescent="0.35">
      <c r="C14" s="51" t="s">
        <v>151</v>
      </c>
      <c r="D14" s="54">
        <f>SUM(D12:F12)</f>
        <v>1.111783552865788</v>
      </c>
      <c r="K14" s="60"/>
      <c r="L14" s="60"/>
      <c r="M14" s="60"/>
    </row>
    <row r="15" spans="2:13" hidden="1" outlineLevel="1" x14ac:dyDescent="0.35">
      <c r="K15" s="60"/>
      <c r="L15" s="60"/>
      <c r="M15" s="60"/>
    </row>
    <row r="16" spans="2:13" hidden="1" outlineLevel="1" x14ac:dyDescent="0.35">
      <c r="C16" s="32" t="s">
        <v>153</v>
      </c>
      <c r="D16" s="17">
        <v>0.06</v>
      </c>
      <c r="K16" s="60"/>
      <c r="L16" s="60"/>
      <c r="M16" s="60"/>
    </row>
    <row r="17" spans="2:13" hidden="1" outlineLevel="1" x14ac:dyDescent="0.35">
      <c r="K17" s="60"/>
      <c r="L17" s="60"/>
      <c r="M17" s="60"/>
    </row>
    <row r="18" spans="2:13" collapsed="1" x14ac:dyDescent="0.35">
      <c r="K18" s="60"/>
      <c r="L18" s="60"/>
      <c r="M18" s="60"/>
    </row>
    <row r="19" spans="2:13" x14ac:dyDescent="0.35">
      <c r="B19" s="42" t="s">
        <v>12</v>
      </c>
      <c r="C19" s="1" t="s">
        <v>162</v>
      </c>
      <c r="K19" s="60"/>
      <c r="L19" s="60"/>
      <c r="M19" s="60"/>
    </row>
    <row r="20" spans="2:13" x14ac:dyDescent="0.35">
      <c r="K20" s="60"/>
      <c r="L20" s="60"/>
      <c r="M20" s="60"/>
    </row>
    <row r="21" spans="2:13" x14ac:dyDescent="0.35">
      <c r="C21" s="20" t="s">
        <v>158</v>
      </c>
      <c r="D21" s="20">
        <v>0</v>
      </c>
      <c r="E21" s="20">
        <v>1</v>
      </c>
      <c r="F21" s="20">
        <v>2</v>
      </c>
      <c r="G21" s="20">
        <v>3</v>
      </c>
      <c r="H21" s="20">
        <v>4</v>
      </c>
      <c r="I21" s="20">
        <v>5</v>
      </c>
      <c r="K21" s="60"/>
      <c r="L21" s="60"/>
      <c r="M21" s="60"/>
    </row>
    <row r="22" spans="2:13" x14ac:dyDescent="0.35">
      <c r="C22" s="20" t="s">
        <v>159</v>
      </c>
      <c r="D22" s="55">
        <v>-1300</v>
      </c>
      <c r="E22" s="55">
        <v>1000</v>
      </c>
      <c r="F22" s="55">
        <v>500</v>
      </c>
      <c r="G22" s="55">
        <v>400</v>
      </c>
      <c r="H22" s="55">
        <v>300</v>
      </c>
      <c r="I22" s="55">
        <v>200</v>
      </c>
      <c r="K22" s="60"/>
      <c r="L22" s="60"/>
      <c r="M22" s="60"/>
    </row>
    <row r="23" spans="2:13" x14ac:dyDescent="0.35">
      <c r="C23" s="20" t="s">
        <v>160</v>
      </c>
      <c r="D23" s="55">
        <v>-1500</v>
      </c>
      <c r="E23" s="55">
        <v>600</v>
      </c>
      <c r="F23" s="55">
        <v>400</v>
      </c>
      <c r="G23" s="55">
        <v>400</v>
      </c>
      <c r="H23" s="55">
        <v>300</v>
      </c>
      <c r="I23" s="55">
        <v>200</v>
      </c>
      <c r="K23" s="60"/>
      <c r="L23" s="60"/>
      <c r="M23" s="60"/>
    </row>
    <row r="24" spans="2:13" x14ac:dyDescent="0.35">
      <c r="C24" s="20" t="s">
        <v>161</v>
      </c>
      <c r="D24" s="55">
        <v>-1000</v>
      </c>
      <c r="E24" s="55">
        <v>2000</v>
      </c>
      <c r="F24" s="55">
        <v>-100</v>
      </c>
      <c r="G24" s="55">
        <v>-1300</v>
      </c>
      <c r="H24" s="55">
        <v>300</v>
      </c>
      <c r="I24" s="55">
        <v>50</v>
      </c>
      <c r="K24" s="60"/>
      <c r="L24" s="60"/>
      <c r="M24" s="60"/>
    </row>
    <row r="25" spans="2:13" x14ac:dyDescent="0.35">
      <c r="K25" s="60"/>
      <c r="L25" s="60"/>
      <c r="M25" s="60"/>
    </row>
    <row r="26" spans="2:13" x14ac:dyDescent="0.35">
      <c r="B26" s="2" t="s">
        <v>55</v>
      </c>
      <c r="C26" s="1" t="s">
        <v>163</v>
      </c>
      <c r="K26" s="60"/>
      <c r="L26" s="60"/>
      <c r="M26" s="60"/>
    </row>
    <row r="27" spans="2:13" hidden="1" outlineLevel="1" x14ac:dyDescent="0.35">
      <c r="C27" s="56"/>
      <c r="K27" s="60"/>
      <c r="L27" s="60"/>
      <c r="M27" s="60"/>
    </row>
    <row r="28" spans="2:13" hidden="1" outlineLevel="1" x14ac:dyDescent="0.35">
      <c r="C28" s="56" t="s">
        <v>166</v>
      </c>
      <c r="K28" s="60"/>
      <c r="L28" s="60"/>
      <c r="M28" s="60"/>
    </row>
    <row r="29" spans="2:13" hidden="1" outlineLevel="1" x14ac:dyDescent="0.35">
      <c r="C29" s="56"/>
      <c r="K29" s="60"/>
      <c r="L29" s="60"/>
      <c r="M29" s="60"/>
    </row>
    <row r="30" spans="2:13" hidden="1" outlineLevel="1" x14ac:dyDescent="0.35">
      <c r="C30" s="52" t="s">
        <v>153</v>
      </c>
      <c r="D30" s="59">
        <v>0.1</v>
      </c>
      <c r="K30" s="60"/>
      <c r="L30" s="61" t="s">
        <v>167</v>
      </c>
      <c r="M30" s="60"/>
    </row>
    <row r="31" spans="2:13" hidden="1" outlineLevel="1" x14ac:dyDescent="0.35">
      <c r="C31" s="56"/>
      <c r="K31" s="60"/>
      <c r="L31" s="60"/>
      <c r="M31" s="60"/>
    </row>
    <row r="32" spans="2:13" hidden="1" outlineLevel="1" x14ac:dyDescent="0.35">
      <c r="C32" s="20" t="s">
        <v>164</v>
      </c>
      <c r="D32" s="20">
        <v>0</v>
      </c>
      <c r="E32" s="20">
        <v>1</v>
      </c>
      <c r="F32" s="20">
        <v>2</v>
      </c>
      <c r="G32" s="20">
        <v>3</v>
      </c>
      <c r="H32" s="20">
        <v>4</v>
      </c>
      <c r="I32" s="20">
        <v>5</v>
      </c>
      <c r="J32" s="57" t="s">
        <v>165</v>
      </c>
      <c r="K32" s="60"/>
      <c r="L32" s="57" t="s">
        <v>165</v>
      </c>
      <c r="M32" s="60"/>
    </row>
    <row r="33" spans="3:13" hidden="1" outlineLevel="1" x14ac:dyDescent="0.35">
      <c r="C33" s="20" t="s">
        <v>159</v>
      </c>
      <c r="D33" s="55">
        <f>D22/(1+$D$30)^D$32</f>
        <v>-1300</v>
      </c>
      <c r="E33" s="55">
        <f t="shared" ref="E33:I33" si="0">E22/(1+$D$30)^E$32</f>
        <v>909.09090909090901</v>
      </c>
      <c r="F33" s="55">
        <f t="shared" si="0"/>
        <v>413.22314049586771</v>
      </c>
      <c r="G33" s="55">
        <f t="shared" si="0"/>
        <v>300.52592036063101</v>
      </c>
      <c r="H33" s="55">
        <f t="shared" si="0"/>
        <v>204.90403660952114</v>
      </c>
      <c r="I33" s="55">
        <f t="shared" si="0"/>
        <v>124.184264611831</v>
      </c>
      <c r="J33" s="58">
        <f>SUM(D33:I33)</f>
        <v>651.92827116875992</v>
      </c>
      <c r="K33" s="60"/>
      <c r="L33" s="69">
        <f>NPV($D$30,$E22:$I22)+D22</f>
        <v>651.92827116875992</v>
      </c>
      <c r="M33" s="60"/>
    </row>
    <row r="34" spans="3:13" hidden="1" outlineLevel="1" x14ac:dyDescent="0.35">
      <c r="C34" s="20" t="s">
        <v>160</v>
      </c>
      <c r="D34" s="55">
        <f>D23/(1+$D$30)^D$32</f>
        <v>-1500</v>
      </c>
      <c r="E34" s="55">
        <f t="shared" ref="E34:I35" si="1">E23/(1+$D$30)^E$32</f>
        <v>545.45454545454538</v>
      </c>
      <c r="F34" s="55">
        <f t="shared" si="1"/>
        <v>330.57851239669418</v>
      </c>
      <c r="G34" s="55">
        <f t="shared" si="1"/>
        <v>300.52592036063101</v>
      </c>
      <c r="H34" s="55">
        <f t="shared" si="1"/>
        <v>204.90403660952114</v>
      </c>
      <c r="I34" s="55">
        <f t="shared" si="1"/>
        <v>124.184264611831</v>
      </c>
      <c r="J34" s="58">
        <f>SUM(D34:I34)</f>
        <v>5.6472794332227636</v>
      </c>
      <c r="K34" s="60"/>
      <c r="L34" s="69">
        <f>NPV($D$30,$E23:$I23)+D23</f>
        <v>5.6472794332228204</v>
      </c>
      <c r="M34" s="60"/>
    </row>
    <row r="35" spans="3:13" hidden="1" outlineLevel="1" x14ac:dyDescent="0.35">
      <c r="C35" s="20" t="s">
        <v>161</v>
      </c>
      <c r="D35" s="55">
        <f>D24/(1+$D$30)^D$32</f>
        <v>-1000</v>
      </c>
      <c r="E35" s="55">
        <f t="shared" si="1"/>
        <v>1818.181818181818</v>
      </c>
      <c r="F35" s="55">
        <f t="shared" si="1"/>
        <v>-82.644628099173545</v>
      </c>
      <c r="G35" s="55">
        <f t="shared" si="1"/>
        <v>-976.70924117205084</v>
      </c>
      <c r="H35" s="55">
        <f t="shared" si="1"/>
        <v>204.90403660952114</v>
      </c>
      <c r="I35" s="55">
        <f t="shared" si="1"/>
        <v>31.046066152957749</v>
      </c>
      <c r="J35" s="58">
        <f>SUM(D35:I35)</f>
        <v>-5.2219483269275173</v>
      </c>
      <c r="K35" s="60"/>
      <c r="L35" s="69">
        <f>NPV($D$30,$E24:$I24)+D24</f>
        <v>-5.2219483269274178</v>
      </c>
      <c r="M35" s="60"/>
    </row>
    <row r="36" spans="3:13" hidden="1" outlineLevel="1" x14ac:dyDescent="0.35">
      <c r="K36" s="60"/>
      <c r="L36" s="60"/>
      <c r="M36" s="60"/>
    </row>
    <row r="37" spans="3:13" hidden="1" outlineLevel="1" x14ac:dyDescent="0.35">
      <c r="K37" s="60"/>
      <c r="L37" s="60"/>
      <c r="M37" s="60"/>
    </row>
    <row r="38" spans="3:13" hidden="1" outlineLevel="1" x14ac:dyDescent="0.35">
      <c r="C38" s="52" t="s">
        <v>153</v>
      </c>
      <c r="D38" s="59">
        <v>0.2</v>
      </c>
      <c r="K38" s="60"/>
      <c r="L38" s="60"/>
      <c r="M38" s="60"/>
    </row>
    <row r="39" spans="3:13" hidden="1" outlineLevel="1" x14ac:dyDescent="0.35">
      <c r="C39" s="56"/>
      <c r="K39" s="60"/>
      <c r="L39" s="60"/>
      <c r="M39" s="60"/>
    </row>
    <row r="40" spans="3:13" hidden="1" outlineLevel="1" x14ac:dyDescent="0.35">
      <c r="C40" s="20" t="s">
        <v>164</v>
      </c>
      <c r="D40" s="20">
        <v>0</v>
      </c>
      <c r="E40" s="20">
        <v>1</v>
      </c>
      <c r="F40" s="20">
        <v>2</v>
      </c>
      <c r="G40" s="20">
        <v>3</v>
      </c>
      <c r="H40" s="20">
        <v>4</v>
      </c>
      <c r="I40" s="20">
        <v>5</v>
      </c>
      <c r="J40" s="57" t="s">
        <v>165</v>
      </c>
      <c r="K40" s="60"/>
      <c r="L40" s="57" t="s">
        <v>165</v>
      </c>
      <c r="M40" s="60"/>
    </row>
    <row r="41" spans="3:13" hidden="1" outlineLevel="1" x14ac:dyDescent="0.35">
      <c r="C41" s="20" t="s">
        <v>159</v>
      </c>
      <c r="D41" s="55">
        <f>D22/(1+$D$38)^D$40</f>
        <v>-1300</v>
      </c>
      <c r="E41" s="55">
        <f t="shared" ref="E41:I41" si="2">E22/(1+$D$38)^E$40</f>
        <v>833.33333333333337</v>
      </c>
      <c r="F41" s="55">
        <f t="shared" si="2"/>
        <v>347.22222222222223</v>
      </c>
      <c r="G41" s="55">
        <f t="shared" si="2"/>
        <v>231.4814814814815</v>
      </c>
      <c r="H41" s="55">
        <f t="shared" si="2"/>
        <v>144.67592592592592</v>
      </c>
      <c r="I41" s="55">
        <f t="shared" si="2"/>
        <v>80.375514403292186</v>
      </c>
      <c r="J41" s="58">
        <f>SUM(D41:I41)</f>
        <v>337.08847736625523</v>
      </c>
      <c r="K41" s="60"/>
      <c r="L41" s="69">
        <f>NPV($D$38,$E22:$I22)+D22</f>
        <v>337.08847736625535</v>
      </c>
      <c r="M41" s="60"/>
    </row>
    <row r="42" spans="3:13" hidden="1" outlineLevel="1" x14ac:dyDescent="0.35">
      <c r="C42" s="20" t="s">
        <v>160</v>
      </c>
      <c r="D42" s="55">
        <f>D23/(1+$D$38)^D$40</f>
        <v>-1500</v>
      </c>
      <c r="E42" s="55">
        <f t="shared" ref="E42:I42" si="3">E23/(1+$D$38)^E$40</f>
        <v>500</v>
      </c>
      <c r="F42" s="55">
        <f t="shared" si="3"/>
        <v>277.77777777777777</v>
      </c>
      <c r="G42" s="55">
        <f t="shared" si="3"/>
        <v>231.4814814814815</v>
      </c>
      <c r="H42" s="55">
        <f t="shared" si="3"/>
        <v>144.67592592592592</v>
      </c>
      <c r="I42" s="55">
        <f t="shared" si="3"/>
        <v>80.375514403292186</v>
      </c>
      <c r="J42" s="58">
        <f>SUM(D42:I42)</f>
        <v>-265.68930041152254</v>
      </c>
      <c r="K42" s="60"/>
      <c r="L42" s="69">
        <f>NPV($D$38,$E23:$I23)+D23</f>
        <v>-265.68930041152271</v>
      </c>
      <c r="M42" s="60"/>
    </row>
    <row r="43" spans="3:13" hidden="1" outlineLevel="1" x14ac:dyDescent="0.35">
      <c r="C43" s="20" t="s">
        <v>161</v>
      </c>
      <c r="D43" s="55">
        <f>D24/(1+$D$38)^D$40</f>
        <v>-1000</v>
      </c>
      <c r="E43" s="55">
        <f t="shared" ref="E43:I43" si="4">E24/(1+$D$38)^E$40</f>
        <v>1666.6666666666667</v>
      </c>
      <c r="F43" s="55">
        <f t="shared" si="4"/>
        <v>-69.444444444444443</v>
      </c>
      <c r="G43" s="55">
        <f t="shared" si="4"/>
        <v>-752.31481481481478</v>
      </c>
      <c r="H43" s="55">
        <f t="shared" si="4"/>
        <v>144.67592592592592</v>
      </c>
      <c r="I43" s="55">
        <f t="shared" si="4"/>
        <v>20.093878600823047</v>
      </c>
      <c r="J43" s="58">
        <f>SUM(D43:I43)</f>
        <v>9.6772119341564746</v>
      </c>
      <c r="K43" s="60"/>
      <c r="L43" s="69">
        <f>NPV($D$38,$E24:$I24)+D24</f>
        <v>9.677211934156503</v>
      </c>
      <c r="M43" s="60"/>
    </row>
    <row r="44" spans="3:13" hidden="1" outlineLevel="1" x14ac:dyDescent="0.35">
      <c r="K44" s="60"/>
      <c r="L44" s="60"/>
      <c r="M44" s="60"/>
    </row>
    <row r="45" spans="3:13" hidden="1" outlineLevel="1" x14ac:dyDescent="0.35">
      <c r="K45" s="60"/>
      <c r="L45" s="60"/>
      <c r="M45" s="60"/>
    </row>
    <row r="46" spans="3:13" hidden="1" outlineLevel="1" x14ac:dyDescent="0.35">
      <c r="C46" s="52" t="s">
        <v>153</v>
      </c>
      <c r="D46" s="59">
        <v>0.35</v>
      </c>
      <c r="K46" s="60"/>
      <c r="L46" s="60"/>
      <c r="M46" s="60"/>
    </row>
    <row r="47" spans="3:13" hidden="1" outlineLevel="1" x14ac:dyDescent="0.35">
      <c r="C47" s="56"/>
      <c r="K47" s="60"/>
      <c r="L47" s="60"/>
      <c r="M47" s="60"/>
    </row>
    <row r="48" spans="3:13" hidden="1" outlineLevel="1" x14ac:dyDescent="0.35">
      <c r="C48" s="20" t="s">
        <v>164</v>
      </c>
      <c r="D48" s="20">
        <v>0</v>
      </c>
      <c r="E48" s="20">
        <v>1</v>
      </c>
      <c r="F48" s="20">
        <v>2</v>
      </c>
      <c r="G48" s="20">
        <v>3</v>
      </c>
      <c r="H48" s="20">
        <v>4</v>
      </c>
      <c r="I48" s="20">
        <v>5</v>
      </c>
      <c r="J48" s="57" t="s">
        <v>165</v>
      </c>
      <c r="K48" s="60"/>
      <c r="L48" s="57" t="s">
        <v>165</v>
      </c>
      <c r="M48" s="60"/>
    </row>
    <row r="49" spans="2:13" hidden="1" outlineLevel="1" x14ac:dyDescent="0.35">
      <c r="C49" s="20" t="s">
        <v>159</v>
      </c>
      <c r="D49" s="55">
        <f>D22/(1+$D$46)^D$48</f>
        <v>-1300</v>
      </c>
      <c r="E49" s="55">
        <f t="shared" ref="E49:I49" si="5">E22/(1+$D$46)^E$48</f>
        <v>740.74074074074065</v>
      </c>
      <c r="F49" s="55">
        <f t="shared" si="5"/>
        <v>274.34842249657061</v>
      </c>
      <c r="G49" s="55">
        <f t="shared" si="5"/>
        <v>162.57684296093072</v>
      </c>
      <c r="H49" s="55">
        <f t="shared" si="5"/>
        <v>90.320468311628176</v>
      </c>
      <c r="I49" s="55">
        <f t="shared" si="5"/>
        <v>44.602700400804032</v>
      </c>
      <c r="J49" s="58">
        <f>SUM(D49:I49)</f>
        <v>12.589174910674181</v>
      </c>
      <c r="K49" s="60"/>
      <c r="L49" s="69">
        <f>NPV($D$46,$E22:$I22)+D22</f>
        <v>12.589174910674274</v>
      </c>
      <c r="M49" s="60"/>
    </row>
    <row r="50" spans="2:13" hidden="1" outlineLevel="1" x14ac:dyDescent="0.35">
      <c r="C50" s="20" t="s">
        <v>160</v>
      </c>
      <c r="D50" s="55">
        <f t="shared" ref="D50:I51" si="6">D23/(1+$D$46)^D$48</f>
        <v>-1500</v>
      </c>
      <c r="E50" s="55">
        <f t="shared" si="6"/>
        <v>444.4444444444444</v>
      </c>
      <c r="F50" s="55">
        <f t="shared" si="6"/>
        <v>219.4787379972565</v>
      </c>
      <c r="G50" s="55">
        <f t="shared" si="6"/>
        <v>162.57684296093072</v>
      </c>
      <c r="H50" s="55">
        <f t="shared" si="6"/>
        <v>90.320468311628176</v>
      </c>
      <c r="I50" s="55">
        <f t="shared" si="6"/>
        <v>44.602700400804032</v>
      </c>
      <c r="J50" s="58">
        <f>SUM(D50:I50)</f>
        <v>-538.57680588493633</v>
      </c>
      <c r="K50" s="60"/>
      <c r="L50" s="69">
        <f>NPV($D$46,$E23:$I23)+D23</f>
        <v>-538.57680588493611</v>
      </c>
      <c r="M50" s="60"/>
    </row>
    <row r="51" spans="2:13" hidden="1" outlineLevel="1" x14ac:dyDescent="0.35">
      <c r="C51" s="20" t="s">
        <v>161</v>
      </c>
      <c r="D51" s="55">
        <f t="shared" si="6"/>
        <v>-1000</v>
      </c>
      <c r="E51" s="55">
        <f t="shared" si="6"/>
        <v>1481.4814814814813</v>
      </c>
      <c r="F51" s="55">
        <f t="shared" si="6"/>
        <v>-54.869684499314126</v>
      </c>
      <c r="G51" s="55">
        <f t="shared" si="6"/>
        <v>-528.37473962302488</v>
      </c>
      <c r="H51" s="55">
        <f t="shared" si="6"/>
        <v>90.320468311628176</v>
      </c>
      <c r="I51" s="55">
        <f t="shared" si="6"/>
        <v>11.150675100201008</v>
      </c>
      <c r="J51" s="58">
        <f>SUM(D51:I51)</f>
        <v>-0.29179922902853228</v>
      </c>
      <c r="K51" s="60"/>
      <c r="L51" s="69">
        <f>NPV($D$46,$E24:$I24)+D24</f>
        <v>-0.29179922902847011</v>
      </c>
      <c r="M51" s="60"/>
    </row>
    <row r="52" spans="2:13" collapsed="1" x14ac:dyDescent="0.35">
      <c r="K52" s="60"/>
      <c r="L52" s="60"/>
      <c r="M52" s="60"/>
    </row>
    <row r="53" spans="2:13" x14ac:dyDescent="0.35">
      <c r="B53" s="2" t="s">
        <v>54</v>
      </c>
      <c r="C53" s="1" t="s">
        <v>168</v>
      </c>
      <c r="K53" s="60"/>
      <c r="L53" s="60"/>
      <c r="M53" s="60"/>
    </row>
    <row r="54" spans="2:13" hidden="1" outlineLevel="1" x14ac:dyDescent="0.35">
      <c r="K54" s="60"/>
      <c r="L54" s="60"/>
      <c r="M54" s="60"/>
    </row>
    <row r="55" spans="2:13" hidden="1" outlineLevel="1" x14ac:dyDescent="0.35">
      <c r="C55" s="52" t="s">
        <v>153</v>
      </c>
      <c r="D55" s="17">
        <v>0.2</v>
      </c>
      <c r="K55" s="60"/>
      <c r="L55" s="60"/>
      <c r="M55" s="60"/>
    </row>
    <row r="56" spans="2:13" hidden="1" outlineLevel="1" x14ac:dyDescent="0.35">
      <c r="K56" s="60"/>
      <c r="L56" s="60"/>
      <c r="M56" s="60"/>
    </row>
    <row r="57" spans="2:13" hidden="1" outlineLevel="1" x14ac:dyDescent="0.35">
      <c r="C57" s="20" t="s">
        <v>158</v>
      </c>
      <c r="D57" s="20" t="s">
        <v>165</v>
      </c>
      <c r="K57" s="60"/>
      <c r="L57" s="60"/>
      <c r="M57" s="60"/>
    </row>
    <row r="58" spans="2:13" hidden="1" outlineLevel="1" x14ac:dyDescent="0.35">
      <c r="C58" s="57" t="s">
        <v>159</v>
      </c>
      <c r="D58" s="58">
        <f>J41</f>
        <v>337.08847736625523</v>
      </c>
      <c r="E58" s="12" t="s">
        <v>169</v>
      </c>
      <c r="F58" s="1" t="s">
        <v>170</v>
      </c>
      <c r="K58" s="60"/>
      <c r="L58" s="60"/>
      <c r="M58" s="60"/>
    </row>
    <row r="59" spans="2:13" hidden="1" outlineLevel="1" x14ac:dyDescent="0.35">
      <c r="C59" s="20" t="s">
        <v>160</v>
      </c>
      <c r="D59" s="55">
        <f t="shared" ref="D59:D60" si="7">J42</f>
        <v>-265.68930041152254</v>
      </c>
      <c r="E59" s="12"/>
      <c r="K59" s="60"/>
      <c r="L59" s="60"/>
      <c r="M59" s="60"/>
    </row>
    <row r="60" spans="2:13" hidden="1" outlineLevel="1" x14ac:dyDescent="0.35">
      <c r="C60" s="57" t="s">
        <v>161</v>
      </c>
      <c r="D60" s="58">
        <f t="shared" si="7"/>
        <v>9.6772119341564746</v>
      </c>
      <c r="E60" s="12" t="s">
        <v>169</v>
      </c>
      <c r="F60" s="1" t="s">
        <v>170</v>
      </c>
      <c r="K60" s="60"/>
      <c r="L60" s="60"/>
      <c r="M60" s="60"/>
    </row>
    <row r="61" spans="2:13" collapsed="1" x14ac:dyDescent="0.35">
      <c r="K61" s="60"/>
      <c r="L61" s="60"/>
      <c r="M61" s="60"/>
    </row>
    <row r="62" spans="2:13" x14ac:dyDescent="0.35">
      <c r="K62" s="60"/>
      <c r="L62" s="60"/>
      <c r="M62" s="60"/>
    </row>
    <row r="63" spans="2:13" x14ac:dyDescent="0.35">
      <c r="B63" s="42" t="s">
        <v>29</v>
      </c>
      <c r="C63" s="1" t="s">
        <v>1</v>
      </c>
      <c r="K63" s="62"/>
      <c r="L63" s="60"/>
      <c r="M63" s="60"/>
    </row>
    <row r="64" spans="2:13" x14ac:dyDescent="0.35">
      <c r="C64" s="1" t="s">
        <v>2</v>
      </c>
      <c r="K64" s="62"/>
      <c r="L64" s="60"/>
      <c r="M64" s="60"/>
    </row>
    <row r="65" spans="2:13" x14ac:dyDescent="0.35">
      <c r="K65" s="62"/>
      <c r="L65" s="60"/>
      <c r="M65" s="60"/>
    </row>
    <row r="66" spans="2:13" hidden="1" outlineLevel="1" x14ac:dyDescent="0.35">
      <c r="C66" s="19" t="s">
        <v>4</v>
      </c>
      <c r="D66" s="19" t="s">
        <v>3</v>
      </c>
      <c r="E66" s="26" t="s">
        <v>5</v>
      </c>
      <c r="G66" s="70" t="s">
        <v>7</v>
      </c>
      <c r="H66" s="70"/>
      <c r="K66" s="62"/>
      <c r="L66" s="60"/>
      <c r="M66" s="60"/>
    </row>
    <row r="67" spans="2:13" hidden="1" outlineLevel="1" x14ac:dyDescent="0.35">
      <c r="C67" s="6">
        <v>1</v>
      </c>
      <c r="D67" s="7">
        <v>955</v>
      </c>
      <c r="E67" s="46">
        <f>($D$72/D67)^(1/C67)-1</f>
        <v>4.7120418848167533E-2</v>
      </c>
      <c r="G67" s="5" t="s">
        <v>8</v>
      </c>
      <c r="H67" s="47">
        <f>E67</f>
        <v>4.7120418848167533E-2</v>
      </c>
      <c r="K67" s="60"/>
      <c r="L67" s="60"/>
      <c r="M67" s="60"/>
    </row>
    <row r="68" spans="2:13" hidden="1" outlineLevel="1" x14ac:dyDescent="0.35">
      <c r="C68" s="6">
        <v>2</v>
      </c>
      <c r="D68" s="7">
        <v>901.47</v>
      </c>
      <c r="E68" s="46">
        <f t="shared" ref="E68:E70" si="8">($D$72/D68)^(1/C68)-1</f>
        <v>5.3232764235997099E-2</v>
      </c>
      <c r="G68" s="5" t="s">
        <v>11</v>
      </c>
      <c r="H68" s="46">
        <f>($D$72/D68)*(1/(1+H67))-1</f>
        <v>5.9380789155490499E-2</v>
      </c>
      <c r="K68" s="60"/>
      <c r="L68" s="60"/>
      <c r="M68" s="60"/>
    </row>
    <row r="69" spans="2:13" hidden="1" outlineLevel="1" x14ac:dyDescent="0.35">
      <c r="C69" s="6">
        <v>3</v>
      </c>
      <c r="D69" s="7">
        <v>838.62</v>
      </c>
      <c r="E69" s="46">
        <f t="shared" si="8"/>
        <v>6.0420857905197911E-2</v>
      </c>
      <c r="G69" s="5" t="s">
        <v>10</v>
      </c>
      <c r="H69" s="46">
        <f>($D$72/D69)*(1/((1+H67)*(1+H68)))-1</f>
        <v>7.4944551763611589E-2</v>
      </c>
      <c r="K69" s="63"/>
      <c r="L69" s="60"/>
      <c r="M69" s="60"/>
    </row>
    <row r="70" spans="2:13" hidden="1" outlineLevel="1" x14ac:dyDescent="0.35">
      <c r="C70" s="6">
        <v>4</v>
      </c>
      <c r="D70" s="7">
        <v>779.89</v>
      </c>
      <c r="E70" s="46">
        <f t="shared" si="8"/>
        <v>6.4122588162420335E-2</v>
      </c>
      <c r="G70" s="5" t="s">
        <v>9</v>
      </c>
      <c r="H70" s="46">
        <f>($D$72/D70)*(1/((1+H67)*(1+H68)*(1+H69)))-1</f>
        <v>7.530549180012569E-2</v>
      </c>
      <c r="K70" s="62"/>
      <c r="L70" s="60"/>
      <c r="M70" s="60"/>
    </row>
    <row r="71" spans="2:13" hidden="1" outlineLevel="1" x14ac:dyDescent="0.35">
      <c r="K71" s="62"/>
      <c r="L71" s="60"/>
      <c r="M71" s="60"/>
    </row>
    <row r="72" spans="2:13" hidden="1" outlineLevel="1" x14ac:dyDescent="0.35">
      <c r="C72" s="5" t="s">
        <v>6</v>
      </c>
      <c r="D72" s="7">
        <v>1000</v>
      </c>
      <c r="K72" s="62"/>
      <c r="L72" s="60"/>
      <c r="M72" s="60"/>
    </row>
    <row r="73" spans="2:13" hidden="1" outlineLevel="1" x14ac:dyDescent="0.35"/>
    <row r="74" spans="2:13" collapsed="1" x14ac:dyDescent="0.35"/>
    <row r="75" spans="2:13" x14ac:dyDescent="0.35">
      <c r="B75" s="42" t="s">
        <v>39</v>
      </c>
      <c r="C75" s="1" t="s">
        <v>13</v>
      </c>
    </row>
    <row r="77" spans="2:13" x14ac:dyDescent="0.35">
      <c r="C77" s="14" t="s">
        <v>16</v>
      </c>
      <c r="D77" s="9">
        <v>0.04</v>
      </c>
    </row>
    <row r="78" spans="2:13" ht="29" x14ac:dyDescent="0.35">
      <c r="C78" s="14" t="s">
        <v>15</v>
      </c>
      <c r="D78" s="9">
        <v>5.5E-2</v>
      </c>
    </row>
    <row r="79" spans="2:13" ht="29" x14ac:dyDescent="0.35">
      <c r="C79" s="14" t="s">
        <v>14</v>
      </c>
      <c r="D79" s="9">
        <v>8.5000000000000006E-2</v>
      </c>
    </row>
    <row r="81" spans="2:7" x14ac:dyDescent="0.35">
      <c r="C81" s="1" t="s">
        <v>17</v>
      </c>
    </row>
    <row r="83" spans="2:7" outlineLevel="1" x14ac:dyDescent="0.35">
      <c r="C83" s="5" t="s">
        <v>6</v>
      </c>
      <c r="D83" s="7">
        <v>1000</v>
      </c>
    </row>
    <row r="84" spans="2:7" outlineLevel="1" x14ac:dyDescent="0.35">
      <c r="C84" s="5" t="s">
        <v>18</v>
      </c>
      <c r="D84" s="18">
        <v>0.05</v>
      </c>
    </row>
    <row r="85" spans="2:7" outlineLevel="1" x14ac:dyDescent="0.35">
      <c r="C85" s="5" t="s">
        <v>19</v>
      </c>
      <c r="D85" s="6" t="s">
        <v>20</v>
      </c>
    </row>
    <row r="86" spans="2:7" outlineLevel="1" x14ac:dyDescent="0.35"/>
    <row r="87" spans="2:7" outlineLevel="1" x14ac:dyDescent="0.35">
      <c r="C87" s="1" t="s">
        <v>31</v>
      </c>
    </row>
    <row r="88" spans="2:7" outlineLevel="1" x14ac:dyDescent="0.35"/>
    <row r="89" spans="2:7" outlineLevel="1" x14ac:dyDescent="0.35">
      <c r="C89" s="19"/>
      <c r="D89" s="19" t="s">
        <v>22</v>
      </c>
      <c r="E89" s="19" t="s">
        <v>23</v>
      </c>
      <c r="F89" s="19" t="s">
        <v>24</v>
      </c>
      <c r="G89" s="19" t="s">
        <v>25</v>
      </c>
    </row>
    <row r="90" spans="2:7" outlineLevel="1" x14ac:dyDescent="0.35">
      <c r="C90" s="24" t="s">
        <v>26</v>
      </c>
      <c r="D90" s="45">
        <f>SUM(E93:G93)</f>
        <v>975.65797984311973</v>
      </c>
      <c r="E90" s="5"/>
      <c r="F90" s="5"/>
      <c r="G90" s="5"/>
    </row>
    <row r="91" spans="2:7" outlineLevel="1" x14ac:dyDescent="0.35">
      <c r="C91" s="5" t="s">
        <v>27</v>
      </c>
      <c r="D91" s="5"/>
      <c r="E91" s="16">
        <f>$D$84*$D$83</f>
        <v>50</v>
      </c>
      <c r="F91" s="16">
        <f t="shared" ref="F91:G91" si="9">$D$84*$D$83</f>
        <v>50</v>
      </c>
      <c r="G91" s="16">
        <f t="shared" si="9"/>
        <v>50</v>
      </c>
    </row>
    <row r="92" spans="2:7" outlineLevel="1" x14ac:dyDescent="0.35">
      <c r="C92" s="5" t="s">
        <v>6</v>
      </c>
      <c r="D92" s="5"/>
      <c r="E92" s="5"/>
      <c r="F92" s="5"/>
      <c r="G92" s="16">
        <f>D83</f>
        <v>1000</v>
      </c>
    </row>
    <row r="93" spans="2:7" outlineLevel="1" x14ac:dyDescent="0.35">
      <c r="C93" s="5" t="s">
        <v>28</v>
      </c>
      <c r="D93" s="5"/>
      <c r="E93" s="44">
        <f>E91/(1+D77)</f>
        <v>48.076923076923073</v>
      </c>
      <c r="F93" s="44">
        <f>F91/((1+D77)*(1+D78))</f>
        <v>45.570543200874958</v>
      </c>
      <c r="G93" s="44">
        <f>(G91+G92)/((1+D77)*(1+D78)*(1+D79))</f>
        <v>882.01051356532173</v>
      </c>
    </row>
    <row r="94" spans="2:7" outlineLevel="1" x14ac:dyDescent="0.35"/>
    <row r="95" spans="2:7" x14ac:dyDescent="0.35">
      <c r="E95" s="60"/>
      <c r="F95" s="60"/>
      <c r="G95" s="60"/>
    </row>
    <row r="96" spans="2:7" x14ac:dyDescent="0.35">
      <c r="B96" s="42" t="s">
        <v>72</v>
      </c>
      <c r="C96" s="1" t="s">
        <v>171</v>
      </c>
    </row>
    <row r="98" spans="2:7" x14ac:dyDescent="0.35">
      <c r="B98" s="2" t="s">
        <v>55</v>
      </c>
      <c r="C98" s="1" t="s">
        <v>172</v>
      </c>
    </row>
    <row r="100" spans="2:7" x14ac:dyDescent="0.35">
      <c r="B100" s="2" t="s">
        <v>54</v>
      </c>
      <c r="C100" s="1" t="s">
        <v>173</v>
      </c>
    </row>
    <row r="101" spans="2:7" x14ac:dyDescent="0.35">
      <c r="C101" s="1" t="s">
        <v>174</v>
      </c>
    </row>
    <row r="102" spans="2:7" x14ac:dyDescent="0.35">
      <c r="C102" s="1" t="s">
        <v>175</v>
      </c>
    </row>
    <row r="104" spans="2:7" hidden="1" outlineLevel="1" x14ac:dyDescent="0.35">
      <c r="C104" s="5" t="s">
        <v>26</v>
      </c>
      <c r="D104" s="7">
        <v>964.8</v>
      </c>
      <c r="F104" s="71" t="s">
        <v>176</v>
      </c>
      <c r="G104" s="71"/>
    </row>
    <row r="105" spans="2:7" hidden="1" outlineLevel="1" x14ac:dyDescent="0.35">
      <c r="C105" s="5" t="s">
        <v>4</v>
      </c>
      <c r="D105" s="6">
        <v>3</v>
      </c>
      <c r="F105" s="5" t="s">
        <v>33</v>
      </c>
      <c r="G105" s="15">
        <v>0.06</v>
      </c>
    </row>
    <row r="106" spans="2:7" hidden="1" outlineLevel="1" x14ac:dyDescent="0.35">
      <c r="C106" s="5" t="s">
        <v>6</v>
      </c>
      <c r="D106" s="7">
        <v>1000</v>
      </c>
      <c r="F106" s="5" t="s">
        <v>34</v>
      </c>
      <c r="G106" s="15">
        <v>0.08</v>
      </c>
    </row>
    <row r="107" spans="2:7" hidden="1" outlineLevel="1" x14ac:dyDescent="0.35">
      <c r="C107" s="5" t="s">
        <v>18</v>
      </c>
      <c r="D107" s="18">
        <v>0.09</v>
      </c>
      <c r="F107" s="5" t="s">
        <v>35</v>
      </c>
      <c r="G107" s="15">
        <v>0.09</v>
      </c>
    </row>
    <row r="108" spans="2:7" hidden="1" outlineLevel="1" x14ac:dyDescent="0.35">
      <c r="C108" s="5" t="s">
        <v>19</v>
      </c>
      <c r="D108" s="6" t="s">
        <v>20</v>
      </c>
    </row>
    <row r="109" spans="2:7" hidden="1" outlineLevel="1" x14ac:dyDescent="0.35">
      <c r="G109" s="13"/>
    </row>
    <row r="110" spans="2:7" hidden="1" outlineLevel="1" x14ac:dyDescent="0.35">
      <c r="C110" s="24" t="s">
        <v>5</v>
      </c>
      <c r="D110" s="23">
        <v>0.1042605964535455</v>
      </c>
      <c r="E110" s="1" t="s">
        <v>32</v>
      </c>
    </row>
    <row r="111" spans="2:7" hidden="1" outlineLevel="1" x14ac:dyDescent="0.35"/>
    <row r="112" spans="2:7" hidden="1" outlineLevel="1" x14ac:dyDescent="0.35">
      <c r="C112" s="19"/>
      <c r="D112" s="20">
        <v>0</v>
      </c>
      <c r="E112" s="20">
        <v>1</v>
      </c>
      <c r="F112" s="20">
        <v>2</v>
      </c>
      <c r="G112" s="20">
        <v>3</v>
      </c>
    </row>
    <row r="113" spans="2:7" hidden="1" outlineLevel="1" x14ac:dyDescent="0.35">
      <c r="C113" s="5" t="s">
        <v>26</v>
      </c>
      <c r="D113" s="44">
        <f>SUM(E116:G116)</f>
        <v>964.8003360586905</v>
      </c>
      <c r="E113" s="5"/>
      <c r="F113" s="5"/>
      <c r="G113" s="5"/>
    </row>
    <row r="114" spans="2:7" hidden="1" outlineLevel="1" x14ac:dyDescent="0.35">
      <c r="C114" s="5" t="s">
        <v>27</v>
      </c>
      <c r="D114" s="5"/>
      <c r="E114" s="16">
        <f>$D$107*$D$106</f>
        <v>90</v>
      </c>
      <c r="F114" s="16">
        <f t="shared" ref="F114:G114" si="10">$D$107*$D$106</f>
        <v>90</v>
      </c>
      <c r="G114" s="16">
        <f t="shared" si="10"/>
        <v>90</v>
      </c>
    </row>
    <row r="115" spans="2:7" hidden="1" outlineLevel="1" x14ac:dyDescent="0.35">
      <c r="C115" s="5" t="s">
        <v>6</v>
      </c>
      <c r="D115" s="5"/>
      <c r="E115" s="5"/>
      <c r="F115" s="5"/>
      <c r="G115" s="16">
        <f>D106</f>
        <v>1000</v>
      </c>
    </row>
    <row r="116" spans="2:7" hidden="1" outlineLevel="1" x14ac:dyDescent="0.35">
      <c r="C116" s="5" t="s">
        <v>28</v>
      </c>
      <c r="D116" s="5"/>
      <c r="E116" s="16">
        <f>E114/((1+$D$110)^E$112)</f>
        <v>81.502500667908379</v>
      </c>
      <c r="F116" s="16">
        <f>F114/((1+$D$110)^F$112)</f>
        <v>73.807306834693406</v>
      </c>
      <c r="G116" s="16">
        <f>(G115+G114)/((1+$D$110)^G$112)</f>
        <v>809.49052855608875</v>
      </c>
    </row>
    <row r="117" spans="2:7" hidden="1" outlineLevel="1" x14ac:dyDescent="0.35">
      <c r="D117" s="21"/>
    </row>
    <row r="118" spans="2:7" ht="43.5" hidden="1" outlineLevel="1" x14ac:dyDescent="0.35">
      <c r="C118" s="14" t="s">
        <v>36</v>
      </c>
      <c r="D118" s="5"/>
      <c r="E118" s="16">
        <f>E114</f>
        <v>90</v>
      </c>
      <c r="F118" s="16">
        <f>E118*(1+G106)+F114</f>
        <v>187.2</v>
      </c>
      <c r="G118" s="16">
        <f>F118*(1+G107)+G114+G115</f>
        <v>1294.048</v>
      </c>
    </row>
    <row r="119" spans="2:7" hidden="1" outlineLevel="1" x14ac:dyDescent="0.35">
      <c r="D119" s="62"/>
    </row>
    <row r="120" spans="2:7" hidden="1" outlineLevel="1" x14ac:dyDescent="0.35">
      <c r="C120" s="14" t="s">
        <v>37</v>
      </c>
      <c r="D120" s="11">
        <f>G118/D104-1</f>
        <v>0.34126036484245437</v>
      </c>
    </row>
    <row r="121" spans="2:7" ht="29" hidden="1" outlineLevel="1" x14ac:dyDescent="0.35">
      <c r="C121" s="22" t="s">
        <v>38</v>
      </c>
      <c r="D121" s="23">
        <f>(1+D120)^(1/3)-1</f>
        <v>0.10281931467404104</v>
      </c>
    </row>
    <row r="122" spans="2:7" hidden="1" outlineLevel="1" x14ac:dyDescent="0.35"/>
    <row r="123" spans="2:7" collapsed="1" x14ac:dyDescent="0.35"/>
    <row r="124" spans="2:7" x14ac:dyDescent="0.35">
      <c r="B124" s="42" t="s">
        <v>81</v>
      </c>
      <c r="C124" s="1" t="s">
        <v>40</v>
      </c>
    </row>
    <row r="125" spans="2:7" x14ac:dyDescent="0.35">
      <c r="C125" s="1" t="s">
        <v>41</v>
      </c>
    </row>
    <row r="126" spans="2:7" x14ac:dyDescent="0.35">
      <c r="C126" s="1" t="s">
        <v>42</v>
      </c>
    </row>
    <row r="127" spans="2:7" x14ac:dyDescent="0.35">
      <c r="C127" s="1" t="s">
        <v>43</v>
      </c>
    </row>
    <row r="128" spans="2:7" x14ac:dyDescent="0.35">
      <c r="C128" s="1" t="s">
        <v>44</v>
      </c>
    </row>
    <row r="130" spans="2:7" x14ac:dyDescent="0.35">
      <c r="C130" s="19"/>
      <c r="D130" s="19" t="s">
        <v>45</v>
      </c>
      <c r="E130" s="19" t="s">
        <v>46</v>
      </c>
      <c r="F130" s="19" t="s">
        <v>47</v>
      </c>
    </row>
    <row r="131" spans="2:7" x14ac:dyDescent="0.35">
      <c r="C131" s="5" t="s">
        <v>6</v>
      </c>
      <c r="D131" s="29">
        <v>1000</v>
      </c>
      <c r="E131" s="29">
        <v>1000</v>
      </c>
      <c r="F131" s="29">
        <v>1000</v>
      </c>
    </row>
    <row r="132" spans="2:7" x14ac:dyDescent="0.35">
      <c r="C132" s="5" t="s">
        <v>48</v>
      </c>
      <c r="D132" s="28" t="s">
        <v>51</v>
      </c>
      <c r="E132" s="18">
        <v>7.0000000000000007E-2</v>
      </c>
      <c r="F132" s="18">
        <v>0.08</v>
      </c>
    </row>
    <row r="133" spans="2:7" x14ac:dyDescent="0.35">
      <c r="C133" s="5" t="s">
        <v>50</v>
      </c>
      <c r="D133" s="28" t="s">
        <v>51</v>
      </c>
      <c r="E133" s="29">
        <f>E132*E131</f>
        <v>70</v>
      </c>
      <c r="F133" s="29">
        <f>F132*F131</f>
        <v>80</v>
      </c>
    </row>
    <row r="134" spans="2:7" x14ac:dyDescent="0.35">
      <c r="C134" s="5" t="s">
        <v>49</v>
      </c>
      <c r="D134" s="28" t="s">
        <v>51</v>
      </c>
      <c r="E134" s="6" t="s">
        <v>20</v>
      </c>
      <c r="F134" s="6" t="s">
        <v>20</v>
      </c>
    </row>
    <row r="135" spans="2:7" x14ac:dyDescent="0.35">
      <c r="C135" s="5" t="s">
        <v>4</v>
      </c>
      <c r="D135" s="6">
        <v>8</v>
      </c>
      <c r="E135" s="6">
        <v>8</v>
      </c>
      <c r="F135" s="6">
        <v>8</v>
      </c>
    </row>
    <row r="137" spans="2:7" x14ac:dyDescent="0.35">
      <c r="B137" s="2" t="s">
        <v>55</v>
      </c>
      <c r="C137" s="1" t="s">
        <v>52</v>
      </c>
    </row>
    <row r="138" spans="2:7" hidden="1" outlineLevel="1" x14ac:dyDescent="0.35"/>
    <row r="139" spans="2:7" hidden="1" outlineLevel="1" x14ac:dyDescent="0.35">
      <c r="C139" s="5" t="s">
        <v>5</v>
      </c>
      <c r="D139" s="18">
        <v>0.06</v>
      </c>
    </row>
    <row r="140" spans="2:7" hidden="1" outlineLevel="1" x14ac:dyDescent="0.35"/>
    <row r="141" spans="2:7" hidden="1" outlineLevel="1" x14ac:dyDescent="0.35">
      <c r="C141" s="19"/>
      <c r="D141" s="19" t="s">
        <v>45</v>
      </c>
      <c r="E141" s="19" t="s">
        <v>46</v>
      </c>
      <c r="F141" s="19" t="s">
        <v>78</v>
      </c>
    </row>
    <row r="142" spans="2:7" hidden="1" outlineLevel="1" x14ac:dyDescent="0.35">
      <c r="C142" s="5" t="s">
        <v>59</v>
      </c>
      <c r="D142" s="30">
        <f>D131/(1+$D$139)^D135</f>
        <v>627.41237134182654</v>
      </c>
      <c r="E142" s="30">
        <f>E131/(1+$D$139)^E135</f>
        <v>627.41237134182654</v>
      </c>
      <c r="F142" s="30">
        <f>F131/(1+$D$139)^F135</f>
        <v>627.41237134182654</v>
      </c>
    </row>
    <row r="143" spans="2:7" hidden="1" outlineLevel="1" x14ac:dyDescent="0.35">
      <c r="C143" s="5" t="s">
        <v>60</v>
      </c>
      <c r="D143" s="30">
        <v>0</v>
      </c>
      <c r="E143" s="30">
        <f>E133/$D$139*(1-(1/(1+$D$139)^E135))</f>
        <v>434.68556676786915</v>
      </c>
      <c r="F143" s="30">
        <f>F133/$D$139*(1-(1/(1+$D$139)^F135))</f>
        <v>496.78350487756472</v>
      </c>
      <c r="G143" s="1" t="s">
        <v>77</v>
      </c>
    </row>
    <row r="144" spans="2:7" hidden="1" outlineLevel="1" x14ac:dyDescent="0.35">
      <c r="C144" s="24" t="s">
        <v>26</v>
      </c>
      <c r="D144" s="31">
        <f>SUM(D142:D143)</f>
        <v>627.41237134182654</v>
      </c>
      <c r="E144" s="31">
        <f t="shared" ref="E144:F144" si="11">SUM(E142:E143)</f>
        <v>1062.0979381096956</v>
      </c>
      <c r="F144" s="31">
        <f t="shared" si="11"/>
        <v>1124.1958762193913</v>
      </c>
    </row>
    <row r="145" spans="2:8" collapsed="1" x14ac:dyDescent="0.35"/>
    <row r="146" spans="2:8" x14ac:dyDescent="0.35">
      <c r="B146" s="2" t="s">
        <v>54</v>
      </c>
      <c r="C146" s="1" t="s">
        <v>61</v>
      </c>
    </row>
    <row r="147" spans="2:8" x14ac:dyDescent="0.35">
      <c r="C147" s="1" t="s">
        <v>62</v>
      </c>
    </row>
    <row r="148" spans="2:8" hidden="1" outlineLevel="1" x14ac:dyDescent="0.35"/>
    <row r="149" spans="2:8" hidden="1" outlineLevel="1" x14ac:dyDescent="0.35">
      <c r="C149" s="32" t="s">
        <v>63</v>
      </c>
      <c r="D149" s="6" t="s">
        <v>23</v>
      </c>
    </row>
    <row r="150" spans="2:8" hidden="1" outlineLevel="1" x14ac:dyDescent="0.35">
      <c r="C150" s="32" t="s">
        <v>64</v>
      </c>
      <c r="D150" s="6">
        <v>7</v>
      </c>
    </row>
    <row r="151" spans="2:8" hidden="1" outlineLevel="1" x14ac:dyDescent="0.35">
      <c r="C151" s="32" t="s">
        <v>5</v>
      </c>
      <c r="D151" s="17">
        <v>0.1</v>
      </c>
    </row>
    <row r="152" spans="2:8" hidden="1" outlineLevel="1" x14ac:dyDescent="0.35">
      <c r="C152" s="33"/>
      <c r="D152" s="34"/>
    </row>
    <row r="153" spans="2:8" hidden="1" outlineLevel="1" x14ac:dyDescent="0.35">
      <c r="C153" s="19"/>
      <c r="D153" s="19" t="s">
        <v>45</v>
      </c>
      <c r="E153" s="19" t="s">
        <v>46</v>
      </c>
      <c r="F153" s="19" t="s">
        <v>78</v>
      </c>
    </row>
    <row r="154" spans="2:8" hidden="1" outlineLevel="1" x14ac:dyDescent="0.35">
      <c r="C154" s="5" t="s">
        <v>59</v>
      </c>
      <c r="D154" s="30">
        <f>D131/(1+$D$151)^D$150</f>
        <v>513.15811823070646</v>
      </c>
      <c r="E154" s="30">
        <f>E131/(1+$D$151)^$D$150</f>
        <v>513.15811823070646</v>
      </c>
      <c r="F154" s="30">
        <f>F131/(1+$D$151)^$D$150</f>
        <v>513.15811823070646</v>
      </c>
      <c r="H154" s="64"/>
    </row>
    <row r="155" spans="2:8" hidden="1" outlineLevel="1" x14ac:dyDescent="0.35">
      <c r="C155" s="5" t="s">
        <v>60</v>
      </c>
      <c r="D155" s="30">
        <v>0</v>
      </c>
      <c r="E155" s="30">
        <f>E$133/$D$151*(1-(1/(1+$D$151)^$D$150))</f>
        <v>340.78931723850548</v>
      </c>
      <c r="F155" s="30">
        <f>F$133/$D$151*(1-(1/(1+$D$151)^$D$150))</f>
        <v>389.47350541543483</v>
      </c>
      <c r="H155" s="65"/>
    </row>
    <row r="156" spans="2:8" hidden="1" outlineLevel="1" x14ac:dyDescent="0.35">
      <c r="C156" s="24" t="s">
        <v>26</v>
      </c>
      <c r="D156" s="31">
        <f>SUM(D154:D155)</f>
        <v>513.15811823070646</v>
      </c>
      <c r="E156" s="31">
        <f t="shared" ref="E156" si="12">SUM(E154:E155)</f>
        <v>853.947435469212</v>
      </c>
      <c r="F156" s="31">
        <f t="shared" ref="F156" si="13">SUM(F154:F155)</f>
        <v>902.63162364614129</v>
      </c>
      <c r="H156" s="65"/>
    </row>
    <row r="157" spans="2:8" collapsed="1" x14ac:dyDescent="0.35"/>
    <row r="158" spans="2:8" x14ac:dyDescent="0.35">
      <c r="B158" s="2" t="s">
        <v>53</v>
      </c>
      <c r="C158" s="1" t="s">
        <v>57</v>
      </c>
    </row>
    <row r="159" spans="2:8" hidden="1" outlineLevel="1" x14ac:dyDescent="0.35"/>
    <row r="160" spans="2:8" hidden="1" outlineLevel="1" x14ac:dyDescent="0.35">
      <c r="C160" s="19"/>
      <c r="D160" s="19" t="s">
        <v>45</v>
      </c>
      <c r="E160" s="19" t="s">
        <v>46</v>
      </c>
      <c r="F160" s="19" t="s">
        <v>78</v>
      </c>
    </row>
    <row r="161" spans="2:10" hidden="1" outlineLevel="1" x14ac:dyDescent="0.35">
      <c r="C161" s="5" t="s">
        <v>65</v>
      </c>
      <c r="D161" s="30">
        <f>D144</f>
        <v>627.41237134182654</v>
      </c>
      <c r="E161" s="30">
        <f t="shared" ref="E161:F161" si="14">E144</f>
        <v>1062.0979381096956</v>
      </c>
      <c r="F161" s="30">
        <f t="shared" si="14"/>
        <v>1124.1958762193913</v>
      </c>
      <c r="G161" s="36" t="s">
        <v>69</v>
      </c>
    </row>
    <row r="162" spans="2:10" hidden="1" outlineLevel="1" x14ac:dyDescent="0.35">
      <c r="C162" s="5" t="s">
        <v>66</v>
      </c>
      <c r="D162" s="30">
        <v>0</v>
      </c>
      <c r="E162" s="30">
        <f>E133</f>
        <v>70</v>
      </c>
      <c r="F162" s="30">
        <f>F133</f>
        <v>80</v>
      </c>
      <c r="H162" s="66"/>
      <c r="I162" s="66"/>
      <c r="J162" s="66"/>
    </row>
    <row r="163" spans="2:10" hidden="1" outlineLevel="1" x14ac:dyDescent="0.35">
      <c r="C163" s="5" t="s">
        <v>67</v>
      </c>
      <c r="D163" s="30">
        <f>D156</f>
        <v>513.15811823070646</v>
      </c>
      <c r="E163" s="30">
        <f t="shared" ref="E163:F163" si="15">E156</f>
        <v>853.947435469212</v>
      </c>
      <c r="F163" s="30">
        <f t="shared" si="15"/>
        <v>902.63162364614129</v>
      </c>
    </row>
    <row r="164" spans="2:10" hidden="1" outlineLevel="1" x14ac:dyDescent="0.35">
      <c r="C164" s="24" t="s">
        <v>68</v>
      </c>
      <c r="D164" s="35">
        <f>(D163+D162)/D161-1</f>
        <v>-0.18210392132811826</v>
      </c>
      <c r="E164" s="35">
        <f t="shared" ref="E164:F164" si="16">(E163+E162)/E161-1</f>
        <v>-0.13007322364862284</v>
      </c>
      <c r="F164" s="35">
        <f t="shared" si="16"/>
        <v>-0.12592489935946283</v>
      </c>
    </row>
    <row r="165" spans="2:10" collapsed="1" x14ac:dyDescent="0.35"/>
    <row r="166" spans="2:10" x14ac:dyDescent="0.35">
      <c r="B166" s="2" t="s">
        <v>56</v>
      </c>
      <c r="C166" s="1" t="s">
        <v>58</v>
      </c>
    </row>
    <row r="167" spans="2:10" hidden="1" outlineLevel="1" x14ac:dyDescent="0.35"/>
    <row r="168" spans="2:10" hidden="1" outlineLevel="1" x14ac:dyDescent="0.35">
      <c r="C168" s="19"/>
      <c r="D168" s="19" t="s">
        <v>45</v>
      </c>
      <c r="E168" s="19" t="s">
        <v>46</v>
      </c>
      <c r="F168" s="19" t="s">
        <v>78</v>
      </c>
    </row>
    <row r="169" spans="2:10" hidden="1" outlineLevel="1" x14ac:dyDescent="0.35">
      <c r="C169" s="5" t="s">
        <v>71</v>
      </c>
      <c r="D169" s="10">
        <f>D162/D161</f>
        <v>0</v>
      </c>
      <c r="E169" s="10">
        <f t="shared" ref="E169:F169" si="17">E162/E161</f>
        <v>6.5907292998407321E-2</v>
      </c>
      <c r="F169" s="10">
        <f t="shared" si="17"/>
        <v>7.1161976033069604E-2</v>
      </c>
    </row>
    <row r="170" spans="2:10" hidden="1" outlineLevel="1" x14ac:dyDescent="0.35">
      <c r="C170" s="5" t="s">
        <v>70</v>
      </c>
      <c r="D170" s="10">
        <f>(D163/D161)-1</f>
        <v>-0.18210392132811826</v>
      </c>
      <c r="E170" s="10">
        <f t="shared" ref="E170:F170" si="18">(E163/E161)-1</f>
        <v>-0.1959805166470302</v>
      </c>
      <c r="F170" s="10">
        <f t="shared" si="18"/>
        <v>-0.19708687539253245</v>
      </c>
    </row>
    <row r="171" spans="2:10" hidden="1" outlineLevel="1" x14ac:dyDescent="0.35">
      <c r="C171" s="24" t="s">
        <v>68</v>
      </c>
      <c r="D171" s="35">
        <f>D169+D170</f>
        <v>-0.18210392132811826</v>
      </c>
      <c r="E171" s="35">
        <f t="shared" ref="E171:F171" si="19">E169+E170</f>
        <v>-0.13007322364862289</v>
      </c>
      <c r="F171" s="35">
        <f t="shared" si="19"/>
        <v>-0.12592489935946283</v>
      </c>
    </row>
    <row r="172" spans="2:10" collapsed="1" x14ac:dyDescent="0.35"/>
    <row r="174" spans="2:10" x14ac:dyDescent="0.35">
      <c r="B174" s="42" t="s">
        <v>154</v>
      </c>
      <c r="C174" s="1" t="s">
        <v>75</v>
      </c>
    </row>
    <row r="175" spans="2:10" x14ac:dyDescent="0.35">
      <c r="C175" s="1" t="s">
        <v>73</v>
      </c>
    </row>
    <row r="176" spans="2:10" x14ac:dyDescent="0.35">
      <c r="C176" s="1" t="s">
        <v>74</v>
      </c>
    </row>
    <row r="178" spans="2:5" hidden="1" outlineLevel="1" x14ac:dyDescent="0.35">
      <c r="C178" s="5" t="s">
        <v>4</v>
      </c>
      <c r="D178" s="6">
        <v>5</v>
      </c>
    </row>
    <row r="179" spans="2:5" hidden="1" outlineLevel="1" x14ac:dyDescent="0.35">
      <c r="C179" s="5" t="s">
        <v>6</v>
      </c>
      <c r="D179" s="7">
        <v>1000</v>
      </c>
    </row>
    <row r="180" spans="2:5" hidden="1" outlineLevel="1" x14ac:dyDescent="0.35">
      <c r="C180" s="5" t="s">
        <v>18</v>
      </c>
      <c r="D180" s="18">
        <v>0.1</v>
      </c>
    </row>
    <row r="181" spans="2:5" hidden="1" outlineLevel="1" x14ac:dyDescent="0.35">
      <c r="C181" s="5" t="s">
        <v>19</v>
      </c>
      <c r="D181" s="6" t="s">
        <v>20</v>
      </c>
    </row>
    <row r="182" spans="2:5" hidden="1" outlineLevel="1" x14ac:dyDescent="0.35">
      <c r="C182" s="5" t="s">
        <v>50</v>
      </c>
      <c r="D182" s="7">
        <f>D180*D179</f>
        <v>100</v>
      </c>
    </row>
    <row r="183" spans="2:5" hidden="1" outlineLevel="1" x14ac:dyDescent="0.35">
      <c r="C183" s="5" t="s">
        <v>5</v>
      </c>
      <c r="D183" s="8">
        <v>0.11</v>
      </c>
    </row>
    <row r="184" spans="2:5" hidden="1" outlineLevel="1" x14ac:dyDescent="0.35"/>
    <row r="185" spans="2:5" hidden="1" outlineLevel="1" x14ac:dyDescent="0.35">
      <c r="C185" s="5" t="s">
        <v>59</v>
      </c>
      <c r="D185" s="16">
        <f>D179/(1+D183)^D178</f>
        <v>593.4513280585586</v>
      </c>
    </row>
    <row r="186" spans="2:5" hidden="1" outlineLevel="1" x14ac:dyDescent="0.35">
      <c r="C186" s="5" t="s">
        <v>60</v>
      </c>
      <c r="D186" s="16">
        <f>(D182/D183)*(1-1/(1+D183)^D178)</f>
        <v>369.58970176494671</v>
      </c>
      <c r="E186" s="1" t="s">
        <v>76</v>
      </c>
    </row>
    <row r="187" spans="2:5" hidden="1" outlineLevel="1" x14ac:dyDescent="0.35">
      <c r="C187" s="24" t="s">
        <v>26</v>
      </c>
      <c r="D187" s="25">
        <f>SUM(D185:D186)</f>
        <v>963.04102982350537</v>
      </c>
    </row>
    <row r="188" spans="2:5" hidden="1" outlineLevel="1" x14ac:dyDescent="0.35"/>
    <row r="189" spans="2:5" hidden="1" outlineLevel="1" x14ac:dyDescent="0.35">
      <c r="C189" s="24" t="s">
        <v>79</v>
      </c>
      <c r="D189" s="35">
        <f>D182/D187</f>
        <v>0.10383773577988344</v>
      </c>
      <c r="E189" s="1" t="s">
        <v>80</v>
      </c>
    </row>
    <row r="190" spans="2:5" hidden="1" outlineLevel="1" x14ac:dyDescent="0.35"/>
    <row r="191" spans="2:5" collapsed="1" x14ac:dyDescent="0.35"/>
    <row r="192" spans="2:5" x14ac:dyDescent="0.35">
      <c r="B192" s="42" t="s">
        <v>99</v>
      </c>
      <c r="C192" s="1" t="s">
        <v>88</v>
      </c>
    </row>
    <row r="194" spans="2:6" x14ac:dyDescent="0.35">
      <c r="B194" s="2" t="s">
        <v>55</v>
      </c>
      <c r="C194" s="1" t="s">
        <v>83</v>
      </c>
    </row>
    <row r="195" spans="2:6" x14ac:dyDescent="0.35">
      <c r="B195" s="2" t="s">
        <v>54</v>
      </c>
      <c r="C195" s="37" t="s">
        <v>84</v>
      </c>
      <c r="F195" s="1" t="s">
        <v>96</v>
      </c>
    </row>
    <row r="196" spans="2:6" x14ac:dyDescent="0.35">
      <c r="B196" s="2" t="s">
        <v>53</v>
      </c>
      <c r="C196" s="1" t="s">
        <v>85</v>
      </c>
    </row>
    <row r="197" spans="2:6" x14ac:dyDescent="0.35">
      <c r="B197" s="2" t="s">
        <v>56</v>
      </c>
      <c r="C197" s="4" t="s">
        <v>86</v>
      </c>
    </row>
    <row r="198" spans="2:6" x14ac:dyDescent="0.35">
      <c r="B198" s="2" t="s">
        <v>82</v>
      </c>
      <c r="C198" s="1" t="s">
        <v>87</v>
      </c>
    </row>
    <row r="201" spans="2:6" x14ac:dyDescent="0.35">
      <c r="B201" s="42" t="s">
        <v>155</v>
      </c>
      <c r="C201" s="1" t="s">
        <v>89</v>
      </c>
    </row>
    <row r="202" spans="2:6" x14ac:dyDescent="0.35">
      <c r="C202" s="1" t="s">
        <v>90</v>
      </c>
    </row>
    <row r="204" spans="2:6" x14ac:dyDescent="0.35">
      <c r="B204" s="2" t="s">
        <v>55</v>
      </c>
      <c r="C204" s="4" t="s">
        <v>91</v>
      </c>
    </row>
    <row r="205" spans="2:6" x14ac:dyDescent="0.35">
      <c r="B205" s="2" t="s">
        <v>54</v>
      </c>
      <c r="C205" s="4" t="s">
        <v>95</v>
      </c>
    </row>
    <row r="206" spans="2:6" x14ac:dyDescent="0.35">
      <c r="B206" s="2" t="s">
        <v>53</v>
      </c>
      <c r="C206" s="1" t="s">
        <v>94</v>
      </c>
    </row>
    <row r="207" spans="2:6" x14ac:dyDescent="0.35">
      <c r="B207" s="2" t="s">
        <v>56</v>
      </c>
      <c r="C207" s="2" t="s">
        <v>93</v>
      </c>
      <c r="E207" s="1" t="s">
        <v>97</v>
      </c>
    </row>
    <row r="208" spans="2:6" x14ac:dyDescent="0.35">
      <c r="B208" s="2" t="s">
        <v>82</v>
      </c>
      <c r="C208" s="1" t="s">
        <v>92</v>
      </c>
      <c r="E208" s="1" t="s">
        <v>132</v>
      </c>
    </row>
    <row r="211" spans="2:8" x14ac:dyDescent="0.35">
      <c r="B211" s="42" t="s">
        <v>156</v>
      </c>
      <c r="C211" s="1" t="s">
        <v>100</v>
      </c>
    </row>
    <row r="213" spans="2:8" hidden="1" outlineLevel="1" x14ac:dyDescent="0.35">
      <c r="C213" s="20"/>
      <c r="D213" s="20">
        <v>1</v>
      </c>
      <c r="E213" s="20">
        <v>2</v>
      </c>
      <c r="F213" s="20">
        <v>3</v>
      </c>
      <c r="G213" s="20">
        <v>4</v>
      </c>
      <c r="H213" s="20">
        <v>5</v>
      </c>
    </row>
    <row r="214" spans="2:8" hidden="1" outlineLevel="1" x14ac:dyDescent="0.35">
      <c r="C214" s="5" t="s">
        <v>98</v>
      </c>
      <c r="D214" s="7">
        <v>99</v>
      </c>
      <c r="E214" s="7">
        <v>96</v>
      </c>
      <c r="F214" s="7">
        <v>94</v>
      </c>
      <c r="G214" s="7">
        <v>91</v>
      </c>
      <c r="H214" s="7">
        <v>88</v>
      </c>
    </row>
    <row r="215" spans="2:8" hidden="1" outlineLevel="1" x14ac:dyDescent="0.35">
      <c r="C215" s="5" t="s">
        <v>103</v>
      </c>
      <c r="D215" s="11">
        <f>(100/D214)^(1/D213)-1</f>
        <v>1.0101010101010166E-2</v>
      </c>
      <c r="E215" s="11">
        <f t="shared" ref="E215:H215" si="20">(100/E214)^(1/E213)-1</f>
        <v>2.0620726159657599E-2</v>
      </c>
      <c r="F215" s="11">
        <f t="shared" si="20"/>
        <v>2.0839302540953009E-2</v>
      </c>
      <c r="G215" s="11">
        <f t="shared" si="20"/>
        <v>2.3857820560022169E-2</v>
      </c>
      <c r="H215" s="11">
        <f t="shared" si="20"/>
        <v>2.5896304910234091E-2</v>
      </c>
    </row>
    <row r="216" spans="2:8" hidden="1" outlineLevel="1" x14ac:dyDescent="0.35"/>
    <row r="217" spans="2:8" hidden="1" outlineLevel="1" x14ac:dyDescent="0.35">
      <c r="C217" s="5" t="s">
        <v>4</v>
      </c>
      <c r="D217" s="6">
        <v>5</v>
      </c>
    </row>
    <row r="218" spans="2:8" hidden="1" outlineLevel="1" x14ac:dyDescent="0.35">
      <c r="C218" s="5" t="s">
        <v>6</v>
      </c>
      <c r="D218" s="7">
        <v>100</v>
      </c>
    </row>
    <row r="219" spans="2:8" hidden="1" outlineLevel="1" x14ac:dyDescent="0.35">
      <c r="C219" s="5" t="s">
        <v>18</v>
      </c>
      <c r="D219" s="18">
        <v>0.05</v>
      </c>
    </row>
    <row r="220" spans="2:8" hidden="1" outlineLevel="1" x14ac:dyDescent="0.35">
      <c r="C220" s="5" t="s">
        <v>19</v>
      </c>
      <c r="D220" s="6" t="s">
        <v>20</v>
      </c>
    </row>
    <row r="221" spans="2:8" hidden="1" outlineLevel="1" x14ac:dyDescent="0.35">
      <c r="C221" s="5" t="s">
        <v>50</v>
      </c>
      <c r="D221" s="7">
        <f>D219*D218</f>
        <v>5</v>
      </c>
    </row>
    <row r="222" spans="2:8" hidden="1" outlineLevel="1" x14ac:dyDescent="0.35"/>
    <row r="223" spans="2:8" hidden="1" outlineLevel="1" x14ac:dyDescent="0.35">
      <c r="C223" s="1" t="s">
        <v>21</v>
      </c>
    </row>
    <row r="224" spans="2:8" hidden="1" outlineLevel="1" x14ac:dyDescent="0.35"/>
    <row r="225" spans="2:9" hidden="1" outlineLevel="1" x14ac:dyDescent="0.35">
      <c r="C225" s="20"/>
      <c r="D225" s="20">
        <v>0</v>
      </c>
      <c r="E225" s="20">
        <v>1</v>
      </c>
      <c r="F225" s="20">
        <v>2</v>
      </c>
      <c r="G225" s="20">
        <v>3</v>
      </c>
      <c r="H225" s="20">
        <v>4</v>
      </c>
      <c r="I225" s="20">
        <v>5</v>
      </c>
    </row>
    <row r="226" spans="2:9" hidden="1" outlineLevel="1" x14ac:dyDescent="0.35">
      <c r="C226" s="5" t="s">
        <v>101</v>
      </c>
      <c r="D226" s="7"/>
      <c r="E226" s="7">
        <f>$D$221</f>
        <v>5</v>
      </c>
      <c r="F226" s="7">
        <f t="shared" ref="F226:I226" si="21">$D$221</f>
        <v>5</v>
      </c>
      <c r="G226" s="7">
        <f t="shared" si="21"/>
        <v>5</v>
      </c>
      <c r="H226" s="7">
        <f t="shared" si="21"/>
        <v>5</v>
      </c>
      <c r="I226" s="7">
        <f t="shared" si="21"/>
        <v>5</v>
      </c>
    </row>
    <row r="227" spans="2:9" hidden="1" outlineLevel="1" x14ac:dyDescent="0.35">
      <c r="C227" s="5" t="s">
        <v>6</v>
      </c>
      <c r="D227" s="7"/>
      <c r="E227" s="7"/>
      <c r="F227" s="7"/>
      <c r="G227" s="7"/>
      <c r="H227" s="7"/>
      <c r="I227" s="7">
        <f>D218</f>
        <v>100</v>
      </c>
    </row>
    <row r="228" spans="2:9" hidden="1" outlineLevel="1" x14ac:dyDescent="0.35">
      <c r="C228" s="5" t="s">
        <v>102</v>
      </c>
      <c r="D228" s="7"/>
      <c r="E228" s="7">
        <f>(E226+E227)/(1+D215)^E225</f>
        <v>4.9499999999999993</v>
      </c>
      <c r="F228" s="7">
        <f>(F226+F227)/(1+E215)^F225</f>
        <v>4.8</v>
      </c>
      <c r="G228" s="7">
        <f>(G226+G227)/(1+F215)^G225</f>
        <v>4.7000000000000011</v>
      </c>
      <c r="H228" s="7">
        <f>(H226+H227)/(1+G215)^H225</f>
        <v>4.5499999999999972</v>
      </c>
      <c r="I228" s="7">
        <f>(I226+I227)/(1+H215)^I225</f>
        <v>92.399999999999977</v>
      </c>
    </row>
    <row r="229" spans="2:9" hidden="1" outlineLevel="1" x14ac:dyDescent="0.35">
      <c r="C229" s="24" t="s">
        <v>26</v>
      </c>
      <c r="D229" s="38">
        <f>SUM(E228:I228)</f>
        <v>111.39999999999998</v>
      </c>
      <c r="E229" s="6"/>
      <c r="F229" s="6"/>
      <c r="G229" s="6"/>
      <c r="H229" s="6"/>
      <c r="I229" s="6"/>
    </row>
    <row r="230" spans="2:9" hidden="1" outlineLevel="1" x14ac:dyDescent="0.35">
      <c r="C230" s="2"/>
      <c r="D230" s="50"/>
      <c r="E230" s="12"/>
      <c r="F230" s="12"/>
      <c r="G230" s="12"/>
      <c r="H230" s="12"/>
      <c r="I230" s="12"/>
    </row>
    <row r="231" spans="2:9" hidden="1" outlineLevel="1" x14ac:dyDescent="0.35">
      <c r="C231" s="24" t="s">
        <v>26</v>
      </c>
      <c r="D231" s="38">
        <f>(D221/D233)*(1-(1/(1+D233)^D217))+D218/(1+D233)^D217</f>
        <v>111.39999094969166</v>
      </c>
      <c r="E231" s="12"/>
      <c r="F231" s="12"/>
      <c r="G231" s="12"/>
      <c r="H231" s="12"/>
      <c r="I231" s="12"/>
    </row>
    <row r="232" spans="2:9" hidden="1" outlineLevel="1" x14ac:dyDescent="0.35">
      <c r="C232" s="5" t="s">
        <v>135</v>
      </c>
      <c r="D232" s="7">
        <v>111.4</v>
      </c>
      <c r="E232" s="12"/>
      <c r="F232" s="12"/>
      <c r="G232" s="12"/>
      <c r="H232" s="12"/>
      <c r="I232" s="12"/>
    </row>
    <row r="233" spans="2:9" hidden="1" outlineLevel="1" x14ac:dyDescent="0.35">
      <c r="C233" s="24" t="s">
        <v>5</v>
      </c>
      <c r="D233" s="23">
        <v>2.5431396633690331E-2</v>
      </c>
      <c r="E233" s="1" t="s">
        <v>32</v>
      </c>
      <c r="F233" s="12"/>
      <c r="G233" s="12"/>
      <c r="H233" s="12"/>
      <c r="I233" s="12"/>
    </row>
    <row r="234" spans="2:9" hidden="1" outlineLevel="1" x14ac:dyDescent="0.35">
      <c r="C234" s="2"/>
      <c r="D234" s="43"/>
      <c r="F234" s="12"/>
      <c r="G234" s="12"/>
      <c r="H234" s="12"/>
      <c r="I234" s="12"/>
    </row>
    <row r="235" spans="2:9" hidden="1" outlineLevel="1" x14ac:dyDescent="0.35">
      <c r="C235" s="67" t="s">
        <v>136</v>
      </c>
      <c r="D235" s="43"/>
      <c r="F235" s="12"/>
      <c r="G235" s="12"/>
      <c r="H235" s="12"/>
      <c r="I235" s="12"/>
    </row>
    <row r="236" spans="2:9" hidden="1" outlineLevel="1" x14ac:dyDescent="0.35">
      <c r="C236" s="67" t="s">
        <v>137</v>
      </c>
      <c r="D236" s="43"/>
      <c r="F236" s="12"/>
      <c r="G236" s="12"/>
      <c r="H236" s="12"/>
      <c r="I236" s="12"/>
    </row>
    <row r="237" spans="2:9" hidden="1" outlineLevel="1" x14ac:dyDescent="0.35">
      <c r="C237" s="67" t="s">
        <v>138</v>
      </c>
    </row>
    <row r="238" spans="2:9" collapsed="1" x14ac:dyDescent="0.35"/>
    <row r="239" spans="2:9" x14ac:dyDescent="0.35">
      <c r="B239" s="42" t="s">
        <v>157</v>
      </c>
      <c r="C239" s="1" t="s">
        <v>104</v>
      </c>
    </row>
    <row r="240" spans="2:9" x14ac:dyDescent="0.35">
      <c r="C240" s="1" t="s">
        <v>105</v>
      </c>
    </row>
    <row r="241" spans="2:8" x14ac:dyDescent="0.35">
      <c r="C241" s="1" t="s">
        <v>106</v>
      </c>
    </row>
    <row r="243" spans="2:8" x14ac:dyDescent="0.35">
      <c r="B243" s="2" t="s">
        <v>55</v>
      </c>
      <c r="C243" s="1" t="s">
        <v>107</v>
      </c>
    </row>
    <row r="244" spans="2:8" outlineLevel="1" x14ac:dyDescent="0.35"/>
    <row r="245" spans="2:8" outlineLevel="1" x14ac:dyDescent="0.35">
      <c r="C245" s="20"/>
      <c r="D245" s="20">
        <v>1</v>
      </c>
      <c r="E245" s="20">
        <v>2</v>
      </c>
      <c r="F245" s="20">
        <v>3</v>
      </c>
      <c r="G245" s="20">
        <v>4</v>
      </c>
      <c r="H245" s="20">
        <v>5</v>
      </c>
    </row>
    <row r="246" spans="2:8" outlineLevel="1" x14ac:dyDescent="0.35">
      <c r="C246" s="5" t="s">
        <v>98</v>
      </c>
      <c r="D246" s="7">
        <v>99</v>
      </c>
      <c r="E246" s="7">
        <v>96</v>
      </c>
      <c r="F246" s="7">
        <v>94</v>
      </c>
      <c r="G246" s="7">
        <v>91</v>
      </c>
      <c r="H246" s="7">
        <v>88</v>
      </c>
    </row>
    <row r="247" spans="2:8" outlineLevel="1" x14ac:dyDescent="0.35">
      <c r="C247" s="24" t="s">
        <v>103</v>
      </c>
      <c r="D247" s="27">
        <f>(100/D246)^(1/D245)-1</f>
        <v>1.0101010101010166E-2</v>
      </c>
      <c r="E247" s="27">
        <f t="shared" ref="E247" si="22">(100/E246)^(1/E245)-1</f>
        <v>2.0620726159657599E-2</v>
      </c>
      <c r="F247" s="27">
        <f t="shared" ref="F247" si="23">(100/F246)^(1/F245)-1</f>
        <v>2.0839302540953009E-2</v>
      </c>
      <c r="G247" s="27">
        <f t="shared" ref="G247" si="24">(100/G246)^(1/G245)-1</f>
        <v>2.3857820560022169E-2</v>
      </c>
      <c r="H247" s="27">
        <f t="shared" ref="H247" si="25">(100/H246)^(1/H245)-1</f>
        <v>2.5896304910234091E-2</v>
      </c>
    </row>
    <row r="249" spans="2:8" x14ac:dyDescent="0.35">
      <c r="B249" s="2" t="s">
        <v>54</v>
      </c>
      <c r="C249" s="1" t="s">
        <v>108</v>
      </c>
    </row>
    <row r="250" spans="2:8" outlineLevel="1" x14ac:dyDescent="0.35"/>
    <row r="251" spans="2:8" outlineLevel="1" x14ac:dyDescent="0.35">
      <c r="C251" s="5" t="s">
        <v>4</v>
      </c>
      <c r="D251" s="6">
        <v>5</v>
      </c>
    </row>
    <row r="252" spans="2:8" outlineLevel="1" x14ac:dyDescent="0.35">
      <c r="C252" s="5" t="s">
        <v>6</v>
      </c>
      <c r="D252" s="29">
        <v>1000</v>
      </c>
    </row>
    <row r="253" spans="2:8" outlineLevel="1" x14ac:dyDescent="0.35">
      <c r="C253" s="5" t="s">
        <v>18</v>
      </c>
      <c r="D253" s="18">
        <v>0.05</v>
      </c>
    </row>
    <row r="254" spans="2:8" outlineLevel="1" x14ac:dyDescent="0.35">
      <c r="C254" s="5" t="s">
        <v>19</v>
      </c>
      <c r="D254" s="6" t="s">
        <v>20</v>
      </c>
    </row>
    <row r="255" spans="2:8" outlineLevel="1" x14ac:dyDescent="0.35">
      <c r="C255" s="5" t="s">
        <v>50</v>
      </c>
      <c r="D255" s="29">
        <f>D253*D252</f>
        <v>50</v>
      </c>
    </row>
    <row r="256" spans="2:8" outlineLevel="1" x14ac:dyDescent="0.35"/>
    <row r="257" spans="2:9" outlineLevel="1" x14ac:dyDescent="0.35">
      <c r="C257" s="1" t="s">
        <v>21</v>
      </c>
    </row>
    <row r="258" spans="2:9" outlineLevel="1" x14ac:dyDescent="0.35"/>
    <row r="259" spans="2:9" outlineLevel="1" x14ac:dyDescent="0.35">
      <c r="C259" s="20"/>
      <c r="D259" s="20">
        <v>0</v>
      </c>
      <c r="E259" s="20">
        <v>1</v>
      </c>
      <c r="F259" s="20">
        <v>2</v>
      </c>
      <c r="G259" s="20">
        <v>3</v>
      </c>
      <c r="H259" s="20">
        <v>4</v>
      </c>
      <c r="I259" s="20">
        <v>5</v>
      </c>
    </row>
    <row r="260" spans="2:9" outlineLevel="1" x14ac:dyDescent="0.35">
      <c r="C260" s="5" t="s">
        <v>101</v>
      </c>
      <c r="D260" s="29"/>
      <c r="E260" s="29">
        <f>$D$255</f>
        <v>50</v>
      </c>
      <c r="F260" s="29">
        <f t="shared" ref="F260:I260" si="26">$D$255</f>
        <v>50</v>
      </c>
      <c r="G260" s="29">
        <f t="shared" si="26"/>
        <v>50</v>
      </c>
      <c r="H260" s="29">
        <f t="shared" si="26"/>
        <v>50</v>
      </c>
      <c r="I260" s="29">
        <f t="shared" si="26"/>
        <v>50</v>
      </c>
    </row>
    <row r="261" spans="2:9" outlineLevel="1" x14ac:dyDescent="0.35">
      <c r="C261" s="5" t="s">
        <v>6</v>
      </c>
      <c r="D261" s="29"/>
      <c r="E261" s="29"/>
      <c r="F261" s="29"/>
      <c r="G261" s="29"/>
      <c r="H261" s="29"/>
      <c r="I261" s="29">
        <f>D252</f>
        <v>1000</v>
      </c>
    </row>
    <row r="262" spans="2:9" outlineLevel="1" x14ac:dyDescent="0.35">
      <c r="C262" s="5" t="s">
        <v>102</v>
      </c>
      <c r="D262" s="29"/>
      <c r="E262" s="29">
        <f>(E260+E261)/(1+D247)^E259</f>
        <v>49.5</v>
      </c>
      <c r="F262" s="29">
        <f t="shared" ref="F262:I262" si="27">(F260+F261)/(1+E247)^F259</f>
        <v>48</v>
      </c>
      <c r="G262" s="29">
        <f t="shared" si="27"/>
        <v>47.000000000000007</v>
      </c>
      <c r="H262" s="29">
        <f t="shared" si="27"/>
        <v>45.499999999999972</v>
      </c>
      <c r="I262" s="29">
        <f t="shared" si="27"/>
        <v>923.99999999999977</v>
      </c>
    </row>
    <row r="263" spans="2:9" outlineLevel="1" x14ac:dyDescent="0.35">
      <c r="C263" s="24" t="s">
        <v>26</v>
      </c>
      <c r="D263" s="39">
        <f>SUM(E262:I262)</f>
        <v>1113.9999999999998</v>
      </c>
      <c r="E263" s="29"/>
      <c r="F263" s="29"/>
      <c r="G263" s="29"/>
      <c r="H263" s="29"/>
      <c r="I263" s="29"/>
    </row>
    <row r="265" spans="2:9" x14ac:dyDescent="0.35">
      <c r="B265" s="2" t="s">
        <v>53</v>
      </c>
      <c r="C265" s="1" t="s">
        <v>109</v>
      </c>
    </row>
    <row r="266" spans="2:9" x14ac:dyDescent="0.35">
      <c r="C266" s="1" t="s">
        <v>110</v>
      </c>
    </row>
    <row r="267" spans="2:9" outlineLevel="1" x14ac:dyDescent="0.35"/>
    <row r="268" spans="2:9" outlineLevel="1" x14ac:dyDescent="0.35">
      <c r="C268" s="20"/>
      <c r="D268" s="20">
        <v>1</v>
      </c>
      <c r="E268" s="20">
        <v>2</v>
      </c>
      <c r="F268" s="20">
        <v>3</v>
      </c>
      <c r="G268" s="20">
        <v>4</v>
      </c>
      <c r="H268" s="20">
        <v>5</v>
      </c>
    </row>
    <row r="269" spans="2:9" outlineLevel="1" x14ac:dyDescent="0.35">
      <c r="C269" s="5" t="s">
        <v>98</v>
      </c>
      <c r="D269" s="7">
        <v>99</v>
      </c>
      <c r="E269" s="7">
        <v>96</v>
      </c>
      <c r="F269" s="7">
        <v>94</v>
      </c>
      <c r="G269" s="7">
        <v>91</v>
      </c>
      <c r="H269" s="7">
        <v>88</v>
      </c>
    </row>
    <row r="270" spans="2:9" outlineLevel="1" x14ac:dyDescent="0.35">
      <c r="C270" s="24" t="s">
        <v>103</v>
      </c>
      <c r="D270" s="40">
        <f>(100/D269)^(1/D268)-1</f>
        <v>1.0101010101010166E-2</v>
      </c>
      <c r="E270" s="40">
        <f t="shared" ref="E270:H270" si="28">(100/E269)^(1/E268)-1</f>
        <v>2.0620726159657599E-2</v>
      </c>
      <c r="F270" s="40">
        <f t="shared" si="28"/>
        <v>2.0839302540953009E-2</v>
      </c>
      <c r="G270" s="40">
        <f t="shared" si="28"/>
        <v>2.3857820560022169E-2</v>
      </c>
      <c r="H270" s="40">
        <f t="shared" si="28"/>
        <v>2.5896304910234091E-2</v>
      </c>
    </row>
    <row r="271" spans="2:9" outlineLevel="1" x14ac:dyDescent="0.35">
      <c r="C271" s="24" t="s">
        <v>111</v>
      </c>
      <c r="D271" s="41"/>
      <c r="E271" s="11">
        <f>(((1+E$270)^E$268)/((1+$D$270)^$D$268))^(1/(E$268-$D$268))-1</f>
        <v>3.125E-2</v>
      </c>
      <c r="F271" s="11">
        <f t="shared" ref="F271:H271" si="29">(((1+F$270)^F$268)/((1+$D$270)^$D$268))^(1/(F$268-$D$268))-1</f>
        <v>2.6251182392352579E-2</v>
      </c>
      <c r="G271" s="11">
        <f t="shared" si="29"/>
        <v>2.8484933711599769E-2</v>
      </c>
      <c r="H271" s="11">
        <f t="shared" si="29"/>
        <v>2.9883571953558841E-2</v>
      </c>
    </row>
    <row r="272" spans="2:9" outlineLevel="1" x14ac:dyDescent="0.35">
      <c r="C272" s="24" t="s">
        <v>112</v>
      </c>
      <c r="D272" s="41"/>
      <c r="E272" s="41"/>
      <c r="F272" s="11">
        <f>(((1+F$270)^F$268)/((1+$E$270)^$E$268))^(1/(F$268-$E$268))-1</f>
        <v>2.1276595744680549E-2</v>
      </c>
      <c r="G272" s="11">
        <f>(((1+G$270)^G$268)/((1+$E$270)^$E$268))^(1/(G$268-$E$268))-1</f>
        <v>2.7105182026191388E-2</v>
      </c>
      <c r="H272" s="11">
        <f>(((1+H$270)^H$268)/((1+$E$270)^$E$268))^(1/(H$268-$E$268))-1</f>
        <v>2.9428498400178693E-2</v>
      </c>
    </row>
    <row r="273" spans="2:8" outlineLevel="1" x14ac:dyDescent="0.35">
      <c r="C273" s="24" t="s">
        <v>113</v>
      </c>
      <c r="D273" s="41"/>
      <c r="E273" s="41"/>
      <c r="F273" s="41"/>
      <c r="G273" s="11">
        <f>(((1+G$270)^G$268)/((1+$F$270)^$F$268))^(1/(G$268-$F$268))-1</f>
        <v>3.296703296703396E-2</v>
      </c>
      <c r="H273" s="11">
        <f>(((1+H$270)^H$268)/((1+$F$270)^$F$268))^(1/(H$268-$F$268))-1</f>
        <v>3.3528818263825144E-2</v>
      </c>
    </row>
    <row r="274" spans="2:8" outlineLevel="1" x14ac:dyDescent="0.35">
      <c r="C274" s="24" t="s">
        <v>114</v>
      </c>
      <c r="D274" s="41"/>
      <c r="E274" s="41"/>
      <c r="F274" s="41"/>
      <c r="G274" s="41"/>
      <c r="H274" s="11">
        <f>(((1+H$270)^H$268)/((1+$G$270)^$G$268))^(1/(H$268-$G$268))-1</f>
        <v>3.4090909090908728E-2</v>
      </c>
    </row>
    <row r="275" spans="2:8" outlineLevel="1" x14ac:dyDescent="0.35"/>
    <row r="276" spans="2:8" outlineLevel="1" x14ac:dyDescent="0.35">
      <c r="C276" s="24" t="s">
        <v>116</v>
      </c>
      <c r="D276" s="20">
        <v>0</v>
      </c>
      <c r="E276" s="20">
        <v>1</v>
      </c>
      <c r="F276" s="20">
        <v>2</v>
      </c>
      <c r="G276" s="20">
        <v>3</v>
      </c>
      <c r="H276" s="20">
        <v>4</v>
      </c>
    </row>
    <row r="277" spans="2:8" outlineLevel="1" x14ac:dyDescent="0.35">
      <c r="C277" s="5" t="s">
        <v>101</v>
      </c>
      <c r="D277" s="29"/>
      <c r="E277" s="29">
        <f>$D$255</f>
        <v>50</v>
      </c>
      <c r="F277" s="29">
        <f t="shared" ref="F277:H277" si="30">$D$255</f>
        <v>50</v>
      </c>
      <c r="G277" s="29">
        <f t="shared" si="30"/>
        <v>50</v>
      </c>
      <c r="H277" s="29">
        <f t="shared" si="30"/>
        <v>50</v>
      </c>
    </row>
    <row r="278" spans="2:8" outlineLevel="1" x14ac:dyDescent="0.35">
      <c r="C278" s="5" t="s">
        <v>6</v>
      </c>
      <c r="D278" s="29"/>
      <c r="E278" s="29"/>
      <c r="F278" s="29"/>
      <c r="G278" s="29"/>
      <c r="H278" s="29">
        <f>$D$252</f>
        <v>1000</v>
      </c>
    </row>
    <row r="279" spans="2:8" outlineLevel="1" x14ac:dyDescent="0.35">
      <c r="C279" s="5" t="s">
        <v>30</v>
      </c>
      <c r="D279" s="6"/>
      <c r="E279" s="18">
        <f>E271</f>
        <v>3.125E-2</v>
      </c>
      <c r="F279" s="18">
        <f>F271</f>
        <v>2.6251182392352579E-2</v>
      </c>
      <c r="G279" s="18">
        <f>G271</f>
        <v>2.8484933711599769E-2</v>
      </c>
      <c r="H279" s="18">
        <f>H271</f>
        <v>2.9883571953558841E-2</v>
      </c>
    </row>
    <row r="280" spans="2:8" outlineLevel="1" x14ac:dyDescent="0.35">
      <c r="C280" s="5" t="s">
        <v>102</v>
      </c>
      <c r="D280" s="6"/>
      <c r="E280" s="29">
        <f>(E277+E278)/(1+E279)^E276</f>
        <v>48.484848484848484</v>
      </c>
      <c r="F280" s="29">
        <f>(F277+F278)/(1+F279)^F276</f>
        <v>47.474747474747488</v>
      </c>
      <c r="G280" s="29">
        <f>(G277+G278)/(1+G279)^G276</f>
        <v>45.959595959595951</v>
      </c>
      <c r="H280" s="29">
        <f>(H277+H278)/(1+H279)^H276</f>
        <v>933.33333333333348</v>
      </c>
    </row>
    <row r="281" spans="2:8" outlineLevel="1" x14ac:dyDescent="0.35">
      <c r="C281" s="24" t="s">
        <v>26</v>
      </c>
      <c r="D281" s="39">
        <f>SUM(E280:H280)</f>
        <v>1075.2525252525254</v>
      </c>
      <c r="E281" s="6"/>
      <c r="F281" s="68"/>
      <c r="G281" s="68"/>
      <c r="H281" s="68"/>
    </row>
    <row r="282" spans="2:8" outlineLevel="1" x14ac:dyDescent="0.35"/>
    <row r="283" spans="2:8" outlineLevel="1" x14ac:dyDescent="0.35">
      <c r="C283" s="5" t="s">
        <v>65</v>
      </c>
      <c r="D283" s="29">
        <f>D263</f>
        <v>1113.9999999999998</v>
      </c>
    </row>
    <row r="284" spans="2:8" outlineLevel="1" x14ac:dyDescent="0.35">
      <c r="C284" s="5" t="s">
        <v>117</v>
      </c>
      <c r="D284" s="29">
        <f>D255</f>
        <v>50</v>
      </c>
    </row>
    <row r="285" spans="2:8" outlineLevel="1" x14ac:dyDescent="0.35">
      <c r="C285" s="5" t="s">
        <v>67</v>
      </c>
      <c r="D285" s="29">
        <f>D281</f>
        <v>1075.2525252525254</v>
      </c>
    </row>
    <row r="286" spans="2:8" outlineLevel="1" x14ac:dyDescent="0.35">
      <c r="C286" s="24" t="s">
        <v>68</v>
      </c>
      <c r="D286" s="27">
        <f>(D285+D284)/D283-1</f>
        <v>1.0101010101010388E-2</v>
      </c>
    </row>
    <row r="288" spans="2:8" x14ac:dyDescent="0.35">
      <c r="B288" s="2" t="s">
        <v>56</v>
      </c>
      <c r="C288" s="1" t="s">
        <v>115</v>
      </c>
    </row>
    <row r="289" spans="3:10" hidden="1" outlineLevel="1" x14ac:dyDescent="0.35"/>
    <row r="290" spans="3:10" hidden="1" outlineLevel="1" x14ac:dyDescent="0.35">
      <c r="C290" s="24" t="s">
        <v>118</v>
      </c>
      <c r="D290" s="20">
        <v>0</v>
      </c>
      <c r="E290" s="20">
        <v>1</v>
      </c>
      <c r="F290" s="20">
        <v>2</v>
      </c>
      <c r="G290" s="20">
        <v>3</v>
      </c>
      <c r="I290" s="5" t="s">
        <v>67</v>
      </c>
      <c r="J290" s="29">
        <f>D281</f>
        <v>1075.2525252525254</v>
      </c>
    </row>
    <row r="291" spans="3:10" hidden="1" outlineLevel="1" x14ac:dyDescent="0.35">
      <c r="C291" s="5" t="s">
        <v>101</v>
      </c>
      <c r="D291" s="29"/>
      <c r="E291" s="29">
        <f t="shared" ref="E291:G291" si="31">$D$255</f>
        <v>50</v>
      </c>
      <c r="F291" s="29">
        <f t="shared" si="31"/>
        <v>50</v>
      </c>
      <c r="G291" s="29">
        <f t="shared" si="31"/>
        <v>50</v>
      </c>
      <c r="I291" s="5" t="s">
        <v>117</v>
      </c>
      <c r="J291" s="29">
        <f>$D$255</f>
        <v>50</v>
      </c>
    </row>
    <row r="292" spans="3:10" hidden="1" outlineLevel="1" x14ac:dyDescent="0.35">
      <c r="C292" s="5" t="s">
        <v>6</v>
      </c>
      <c r="D292" s="29"/>
      <c r="E292" s="29"/>
      <c r="F292" s="29"/>
      <c r="G292" s="29">
        <f>$D$252</f>
        <v>1000</v>
      </c>
      <c r="I292" s="5" t="s">
        <v>119</v>
      </c>
      <c r="J292" s="29">
        <f>D295</f>
        <v>1058.8541666666665</v>
      </c>
    </row>
    <row r="293" spans="3:10" hidden="1" outlineLevel="1" x14ac:dyDescent="0.35">
      <c r="C293" s="5" t="s">
        <v>30</v>
      </c>
      <c r="D293" s="6"/>
      <c r="E293" s="18">
        <f>F272</f>
        <v>2.1276595744680549E-2</v>
      </c>
      <c r="F293" s="18">
        <f t="shared" ref="F293:G293" si="32">G272</f>
        <v>2.7105182026191388E-2</v>
      </c>
      <c r="G293" s="18">
        <f t="shared" si="32"/>
        <v>2.9428498400178693E-2</v>
      </c>
      <c r="I293" s="24" t="s">
        <v>68</v>
      </c>
      <c r="J293" s="27">
        <f>(J292+J291)/J290-1</f>
        <v>3.1249999999999778E-2</v>
      </c>
    </row>
    <row r="294" spans="3:10" hidden="1" outlineLevel="1" x14ac:dyDescent="0.35">
      <c r="C294" s="5" t="s">
        <v>102</v>
      </c>
      <c r="D294" s="6"/>
      <c r="E294" s="29">
        <f>(E291+E292)/(1+E293)^E290</f>
        <v>48.95833333333335</v>
      </c>
      <c r="F294" s="29">
        <f>(F291+F292)/(1+F293)^F290</f>
        <v>47.3958333333333</v>
      </c>
      <c r="G294" s="29">
        <f>(G291+G292)/(1+G293)^G290</f>
        <v>962.49999999999989</v>
      </c>
    </row>
    <row r="295" spans="3:10" hidden="1" outlineLevel="1" x14ac:dyDescent="0.35">
      <c r="C295" s="24" t="s">
        <v>26</v>
      </c>
      <c r="D295" s="39">
        <f>SUM(E294:G294)</f>
        <v>1058.8541666666665</v>
      </c>
      <c r="E295" s="68"/>
      <c r="F295" s="68"/>
      <c r="G295" s="68"/>
    </row>
    <row r="296" spans="3:10" hidden="1" outlineLevel="1" x14ac:dyDescent="0.35"/>
    <row r="297" spans="3:10" hidden="1" outlineLevel="1" x14ac:dyDescent="0.35">
      <c r="C297" s="24" t="s">
        <v>120</v>
      </c>
      <c r="D297" s="20">
        <v>0</v>
      </c>
      <c r="E297" s="20">
        <v>1</v>
      </c>
      <c r="F297" s="20">
        <v>2</v>
      </c>
      <c r="H297" s="5" t="s">
        <v>119</v>
      </c>
      <c r="I297" s="29">
        <f>D295</f>
        <v>1058.8541666666665</v>
      </c>
    </row>
    <row r="298" spans="3:10" hidden="1" outlineLevel="1" x14ac:dyDescent="0.35">
      <c r="C298" s="5" t="s">
        <v>101</v>
      </c>
      <c r="D298" s="29"/>
      <c r="E298" s="29">
        <f t="shared" ref="E298:F298" si="33">$D$255</f>
        <v>50</v>
      </c>
      <c r="F298" s="29">
        <f t="shared" si="33"/>
        <v>50</v>
      </c>
      <c r="H298" s="5" t="s">
        <v>117</v>
      </c>
      <c r="I298" s="29">
        <f>$D$255</f>
        <v>50</v>
      </c>
    </row>
    <row r="299" spans="3:10" hidden="1" outlineLevel="1" x14ac:dyDescent="0.35">
      <c r="C299" s="5" t="s">
        <v>6</v>
      </c>
      <c r="D299" s="29"/>
      <c r="E299" s="29"/>
      <c r="F299" s="29">
        <f>$D$252</f>
        <v>1000</v>
      </c>
      <c r="H299" s="5" t="s">
        <v>124</v>
      </c>
      <c r="I299" s="29">
        <f>D302</f>
        <v>1031.3829787234035</v>
      </c>
    </row>
    <row r="300" spans="3:10" hidden="1" outlineLevel="1" x14ac:dyDescent="0.35">
      <c r="C300" s="5" t="s">
        <v>30</v>
      </c>
      <c r="D300" s="6"/>
      <c r="E300" s="18">
        <f>G273</f>
        <v>3.296703296703396E-2</v>
      </c>
      <c r="F300" s="18">
        <f>H273</f>
        <v>3.3528818263825144E-2</v>
      </c>
      <c r="H300" s="24" t="s">
        <v>68</v>
      </c>
      <c r="I300" s="27">
        <f>(I299+I298)/I297-1</f>
        <v>2.1276595744680327E-2</v>
      </c>
    </row>
    <row r="301" spans="3:10" hidden="1" outlineLevel="1" x14ac:dyDescent="0.35">
      <c r="C301" s="5" t="s">
        <v>102</v>
      </c>
      <c r="D301" s="6"/>
      <c r="E301" s="29">
        <f>(E298+E299)/(1+E300)^E297</f>
        <v>48.404255319148888</v>
      </c>
      <c r="F301" s="29">
        <f>(F298+F299)/(1+F300)^F297</f>
        <v>982.97872340425454</v>
      </c>
    </row>
    <row r="302" spans="3:10" hidden="1" outlineLevel="1" x14ac:dyDescent="0.35">
      <c r="C302" s="24" t="s">
        <v>26</v>
      </c>
      <c r="D302" s="39">
        <f>SUM(E301:F301)</f>
        <v>1031.3829787234035</v>
      </c>
      <c r="E302" s="68"/>
      <c r="F302" s="68"/>
    </row>
    <row r="303" spans="3:10" hidden="1" outlineLevel="1" x14ac:dyDescent="0.35"/>
    <row r="304" spans="3:10" hidden="1" outlineLevel="1" x14ac:dyDescent="0.35">
      <c r="C304" s="24" t="s">
        <v>121</v>
      </c>
      <c r="D304" s="20">
        <v>0</v>
      </c>
      <c r="E304" s="20">
        <v>1</v>
      </c>
      <c r="G304" s="5" t="s">
        <v>124</v>
      </c>
      <c r="H304" s="29">
        <f>D302</f>
        <v>1031.3829787234035</v>
      </c>
    </row>
    <row r="305" spans="2:8" hidden="1" outlineLevel="1" x14ac:dyDescent="0.35">
      <c r="C305" s="5" t="s">
        <v>101</v>
      </c>
      <c r="D305" s="29"/>
      <c r="E305" s="29">
        <f t="shared" ref="E305" si="34">$D$255</f>
        <v>50</v>
      </c>
      <c r="G305" s="5" t="s">
        <v>117</v>
      </c>
      <c r="H305" s="29">
        <f>$D$255</f>
        <v>50</v>
      </c>
    </row>
    <row r="306" spans="2:8" hidden="1" outlineLevel="1" x14ac:dyDescent="0.35">
      <c r="C306" s="5" t="s">
        <v>6</v>
      </c>
      <c r="D306" s="29"/>
      <c r="E306" s="29">
        <f>$D$252</f>
        <v>1000</v>
      </c>
      <c r="G306" s="5" t="s">
        <v>123</v>
      </c>
      <c r="H306" s="29">
        <f>D309</f>
        <v>1015.3846153846157</v>
      </c>
    </row>
    <row r="307" spans="2:8" hidden="1" outlineLevel="1" x14ac:dyDescent="0.35">
      <c r="C307" s="5" t="s">
        <v>30</v>
      </c>
      <c r="D307" s="6"/>
      <c r="E307" s="18">
        <f>H274</f>
        <v>3.4090909090908728E-2</v>
      </c>
      <c r="G307" s="24" t="s">
        <v>68</v>
      </c>
      <c r="H307" s="27">
        <f>(H306+H305)/H304-1</f>
        <v>3.296703296703396E-2</v>
      </c>
    </row>
    <row r="308" spans="2:8" hidden="1" outlineLevel="1" x14ac:dyDescent="0.35">
      <c r="C308" s="5" t="s">
        <v>102</v>
      </c>
      <c r="D308" s="6"/>
      <c r="E308" s="29">
        <f>(E305+E306)/(1+E307)^E304</f>
        <v>1015.3846153846157</v>
      </c>
    </row>
    <row r="309" spans="2:8" hidden="1" outlineLevel="1" x14ac:dyDescent="0.35">
      <c r="C309" s="24" t="s">
        <v>26</v>
      </c>
      <c r="D309" s="39">
        <f>SUM(E308:E308)</f>
        <v>1015.3846153846157</v>
      </c>
      <c r="E309" s="68"/>
    </row>
    <row r="310" spans="2:8" hidden="1" outlineLevel="1" x14ac:dyDescent="0.35"/>
    <row r="311" spans="2:8" hidden="1" outlineLevel="1" x14ac:dyDescent="0.35">
      <c r="C311" s="24" t="s">
        <v>121</v>
      </c>
      <c r="D311" s="20">
        <v>0</v>
      </c>
      <c r="F311" s="5" t="s">
        <v>123</v>
      </c>
      <c r="G311" s="29">
        <f>D309</f>
        <v>1015.3846153846157</v>
      </c>
    </row>
    <row r="312" spans="2:8" hidden="1" outlineLevel="1" x14ac:dyDescent="0.35">
      <c r="C312" s="5" t="s">
        <v>101</v>
      </c>
      <c r="D312" s="29">
        <f t="shared" ref="D312" si="35">$D$255</f>
        <v>50</v>
      </c>
      <c r="F312" s="5" t="s">
        <v>117</v>
      </c>
      <c r="G312" s="29">
        <v>0</v>
      </c>
    </row>
    <row r="313" spans="2:8" hidden="1" outlineLevel="1" x14ac:dyDescent="0.35">
      <c r="C313" s="5" t="s">
        <v>6</v>
      </c>
      <c r="D313" s="29">
        <f>$D$252</f>
        <v>1000</v>
      </c>
      <c r="F313" s="5" t="s">
        <v>122</v>
      </c>
      <c r="G313" s="29">
        <f>D316</f>
        <v>1050</v>
      </c>
    </row>
    <row r="314" spans="2:8" hidden="1" outlineLevel="1" x14ac:dyDescent="0.35">
      <c r="C314" s="5" t="s">
        <v>30</v>
      </c>
      <c r="D314" s="18">
        <f>H281</f>
        <v>0</v>
      </c>
      <c r="F314" s="24" t="s">
        <v>68</v>
      </c>
      <c r="G314" s="27">
        <f>(G313+G312)/G311-1</f>
        <v>3.4090909090908728E-2</v>
      </c>
    </row>
    <row r="315" spans="2:8" hidden="1" outlineLevel="1" x14ac:dyDescent="0.35">
      <c r="C315" s="5" t="s">
        <v>102</v>
      </c>
      <c r="D315" s="29">
        <f>(D312+D313)/(1+D314)^D311</f>
        <v>1050</v>
      </c>
    </row>
    <row r="316" spans="2:8" hidden="1" outlineLevel="1" x14ac:dyDescent="0.35">
      <c r="C316" s="24" t="s">
        <v>26</v>
      </c>
      <c r="D316" s="39">
        <f>SUM(D315:D315)</f>
        <v>1050</v>
      </c>
    </row>
    <row r="317" spans="2:8" collapsed="1" x14ac:dyDescent="0.35"/>
    <row r="318" spans="2:8" x14ac:dyDescent="0.35">
      <c r="B318" s="2" t="s">
        <v>82</v>
      </c>
      <c r="C318" s="1" t="s">
        <v>125</v>
      </c>
    </row>
    <row r="319" spans="2:8" outlineLevel="1" x14ac:dyDescent="0.35"/>
    <row r="320" spans="2:8" outlineLevel="1" x14ac:dyDescent="0.35">
      <c r="C320" s="1" t="s">
        <v>131</v>
      </c>
    </row>
    <row r="321" spans="3:9" outlineLevel="1" x14ac:dyDescent="0.35">
      <c r="C321" s="19"/>
      <c r="D321" s="20">
        <v>0</v>
      </c>
      <c r="E321" s="20">
        <v>1</v>
      </c>
      <c r="F321" s="20">
        <v>2</v>
      </c>
      <c r="G321" s="20">
        <v>3</v>
      </c>
    </row>
    <row r="322" spans="3:9" outlineLevel="1" x14ac:dyDescent="0.35">
      <c r="C322" s="5" t="s">
        <v>65</v>
      </c>
      <c r="D322" s="29">
        <f>D263</f>
        <v>1113.9999999999998</v>
      </c>
      <c r="E322" s="6"/>
      <c r="F322" s="6"/>
      <c r="G322" s="6"/>
    </row>
    <row r="323" spans="3:9" outlineLevel="1" x14ac:dyDescent="0.35">
      <c r="C323" s="5" t="s">
        <v>101</v>
      </c>
      <c r="D323" s="6"/>
      <c r="E323" s="29">
        <f>E260</f>
        <v>50</v>
      </c>
      <c r="F323" s="29">
        <f t="shared" ref="F323:G323" si="36">F260</f>
        <v>50</v>
      </c>
      <c r="G323" s="29">
        <f t="shared" si="36"/>
        <v>50</v>
      </c>
    </row>
    <row r="324" spans="3:9" outlineLevel="1" x14ac:dyDescent="0.35">
      <c r="C324" s="5" t="s">
        <v>124</v>
      </c>
      <c r="D324" s="6"/>
      <c r="E324" s="6"/>
      <c r="F324" s="6"/>
      <c r="G324" s="29">
        <f>D302</f>
        <v>1031.3829787234035</v>
      </c>
    </row>
    <row r="325" spans="3:9" outlineLevel="1" x14ac:dyDescent="0.35">
      <c r="C325" s="5" t="s">
        <v>126</v>
      </c>
      <c r="D325" s="6"/>
      <c r="E325" s="6"/>
      <c r="F325" s="6"/>
      <c r="G325" s="27">
        <f>((G324)+SUM(E323:G323))/D322-1</f>
        <v>6.048741357576648E-2</v>
      </c>
    </row>
    <row r="326" spans="3:9" outlineLevel="1" x14ac:dyDescent="0.35"/>
    <row r="327" spans="3:9" outlineLevel="1" x14ac:dyDescent="0.35">
      <c r="C327" s="1" t="s">
        <v>130</v>
      </c>
    </row>
    <row r="328" spans="3:9" outlineLevel="1" x14ac:dyDescent="0.35">
      <c r="C328" s="19"/>
      <c r="D328" s="20">
        <v>0</v>
      </c>
      <c r="E328" s="20">
        <v>1</v>
      </c>
      <c r="F328" s="20">
        <v>2</v>
      </c>
      <c r="G328" s="20">
        <v>3</v>
      </c>
    </row>
    <row r="329" spans="3:9" outlineLevel="1" x14ac:dyDescent="0.35">
      <c r="C329" s="5" t="s">
        <v>65</v>
      </c>
      <c r="D329" s="29">
        <f>D322</f>
        <v>1113.9999999999998</v>
      </c>
      <c r="E329" s="6"/>
      <c r="F329" s="6"/>
      <c r="G329" s="6"/>
    </row>
    <row r="330" spans="3:9" outlineLevel="1" x14ac:dyDescent="0.35">
      <c r="C330" s="5" t="s">
        <v>101</v>
      </c>
      <c r="D330" s="6"/>
      <c r="E330" s="29">
        <f>E323</f>
        <v>50</v>
      </c>
      <c r="F330" s="29">
        <f>F323</f>
        <v>50</v>
      </c>
      <c r="G330" s="29">
        <f>G323</f>
        <v>50</v>
      </c>
      <c r="H330" s="12" t="s">
        <v>133</v>
      </c>
      <c r="I330" s="1" t="s">
        <v>141</v>
      </c>
    </row>
    <row r="331" spans="3:9" ht="29" outlineLevel="1" x14ac:dyDescent="0.35">
      <c r="C331" s="14" t="s">
        <v>142</v>
      </c>
      <c r="D331" s="6"/>
      <c r="E331" s="29">
        <f>-E330</f>
        <v>-50</v>
      </c>
      <c r="F331" s="6"/>
      <c r="G331" s="29">
        <f>-E331*(1+D337)^(G328-E328)</f>
        <v>52.65957446808509</v>
      </c>
      <c r="H331" s="12" t="s">
        <v>133</v>
      </c>
      <c r="I331" s="1" t="s">
        <v>139</v>
      </c>
    </row>
    <row r="332" spans="3:9" ht="29" outlineLevel="1" x14ac:dyDescent="0.35">
      <c r="C332" s="14" t="s">
        <v>143</v>
      </c>
      <c r="D332" s="6"/>
      <c r="E332" s="6"/>
      <c r="F332" s="29">
        <f>-F330</f>
        <v>-50</v>
      </c>
      <c r="G332" s="29">
        <f>-F332*(1+D338)</f>
        <v>51.063829787234027</v>
      </c>
      <c r="H332" s="12" t="s">
        <v>133</v>
      </c>
      <c r="I332" s="1" t="s">
        <v>140</v>
      </c>
    </row>
    <row r="333" spans="3:9" outlineLevel="1" x14ac:dyDescent="0.35">
      <c r="C333" s="5" t="s">
        <v>124</v>
      </c>
      <c r="D333" s="6"/>
      <c r="E333" s="6"/>
      <c r="F333" s="6"/>
      <c r="G333" s="29">
        <f>G324</f>
        <v>1031.3829787234035</v>
      </c>
    </row>
    <row r="334" spans="3:9" outlineLevel="1" x14ac:dyDescent="0.35">
      <c r="C334" s="5" t="s">
        <v>126</v>
      </c>
      <c r="D334" s="6"/>
      <c r="E334" s="6"/>
      <c r="F334" s="6"/>
      <c r="G334" s="27">
        <f>(G333+SUM(E330:G332))/D329-1</f>
        <v>6.382978723404209E-2</v>
      </c>
    </row>
    <row r="335" spans="3:9" outlineLevel="1" x14ac:dyDescent="0.35"/>
    <row r="336" spans="3:9" outlineLevel="1" x14ac:dyDescent="0.35">
      <c r="C336" s="72" t="s">
        <v>127</v>
      </c>
      <c r="D336" s="73"/>
    </row>
    <row r="337" spans="3:4" outlineLevel="1" x14ac:dyDescent="0.35">
      <c r="C337" s="5" t="s">
        <v>128</v>
      </c>
      <c r="D337" s="9">
        <f>F271</f>
        <v>2.6251182392352579E-2</v>
      </c>
    </row>
    <row r="338" spans="3:4" outlineLevel="1" x14ac:dyDescent="0.35">
      <c r="C338" s="5" t="s">
        <v>129</v>
      </c>
      <c r="D338" s="9">
        <f>F272</f>
        <v>2.1276595744680549E-2</v>
      </c>
    </row>
  </sheetData>
  <mergeCells count="3">
    <mergeCell ref="G66:H66"/>
    <mergeCell ref="F104:G104"/>
    <mergeCell ref="C336:D3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Solutions &gt;</vt:lpstr>
      <vt:lpstr>Set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Marques, G.</dc:creator>
  <cp:lastModifiedBy>Martijn Boons</cp:lastModifiedBy>
  <dcterms:created xsi:type="dcterms:W3CDTF">2021-09-12T21:15:28Z</dcterms:created>
  <dcterms:modified xsi:type="dcterms:W3CDTF">2025-01-07T13:51:05Z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{693953C0-F81D-4D35-9BEA-8D32A1BD37F5}</vt:lpwstr>
  </property>
</Properties>
</file>