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Dropbox\D-Drive Uni\Teaching\Nova\Investments\Spring 2025\Weekly exercise sets\"/>
    </mc:Choice>
  </mc:AlternateContent>
  <xr:revisionPtr revIDLastSave="0" documentId="13_ncr:1_{320BA212-F218-4F5A-9373-0226E4706906}" xr6:coauthVersionLast="47" xr6:coauthVersionMax="47" xr10:uidLastSave="{00000000-0000-0000-0000-000000000000}"/>
  <bookViews>
    <workbookView xWindow="-110" yWindow="-110" windowWidth="25180" windowHeight="16140" xr2:uid="{00000000-000D-0000-FFFF-FFFF00000000}"/>
  </bookViews>
  <sheets>
    <sheet name="Sheet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9" i="2" l="1"/>
  <c r="E71" i="2"/>
  <c r="D163" i="2" l="1"/>
  <c r="F160" i="2"/>
  <c r="F159" i="2"/>
  <c r="D165" i="2" l="1"/>
  <c r="D166" i="2" l="1"/>
  <c r="D169" i="2" s="1"/>
  <c r="D153" i="2"/>
  <c r="D156" i="2" s="1"/>
  <c r="D168" i="2" l="1"/>
  <c r="D171" i="2" s="1"/>
  <c r="D155" i="2"/>
  <c r="D141" i="2"/>
  <c r="D143" i="2" s="1"/>
  <c r="D175" i="2" l="1"/>
  <c r="D144" i="2"/>
  <c r="D224" i="2"/>
  <c r="D18" i="2" l="1"/>
  <c r="D19" i="2" s="1"/>
  <c r="E72" i="2" l="1"/>
  <c r="D74" i="2" s="1"/>
  <c r="D76" i="2" s="1"/>
  <c r="D29" i="2"/>
  <c r="D225" i="2" l="1"/>
  <c r="D227" i="2" s="1"/>
  <c r="D226" i="2" s="1"/>
  <c r="D229" i="2" s="1"/>
  <c r="G217" i="2"/>
  <c r="G218" i="2" s="1"/>
  <c r="G220" i="2" s="1"/>
  <c r="G219" i="2" s="1"/>
  <c r="G221" i="2" s="1"/>
  <c r="C202" i="2"/>
  <c r="C203" i="2" s="1"/>
  <c r="D201" i="2"/>
  <c r="F201" i="2" s="1"/>
  <c r="C186" i="2"/>
  <c r="D186" i="2" s="1"/>
  <c r="D185" i="2"/>
  <c r="E185" i="2" s="1"/>
  <c r="D147" i="2"/>
  <c r="C99" i="2"/>
  <c r="D99" i="2" s="1"/>
  <c r="F99" i="2" s="1"/>
  <c r="D98" i="2"/>
  <c r="F98" i="2" s="1"/>
  <c r="D90" i="2"/>
  <c r="G87" i="2"/>
  <c r="D86" i="2"/>
  <c r="D85" i="2"/>
  <c r="D84" i="2"/>
  <c r="G80" i="2"/>
  <c r="G79" i="2"/>
  <c r="G37" i="2"/>
  <c r="D150" i="2" l="1"/>
  <c r="D149" i="2"/>
  <c r="D51" i="2"/>
  <c r="D42" i="2"/>
  <c r="D44" i="2" s="1"/>
  <c r="D127" i="2"/>
  <c r="D121" i="2"/>
  <c r="D122" i="2"/>
  <c r="D123" i="2"/>
  <c r="D228" i="2"/>
  <c r="C100" i="2"/>
  <c r="C187" i="2"/>
  <c r="C188" i="2" s="1"/>
  <c r="C189" i="2" s="1"/>
  <c r="C190" i="2" s="1"/>
  <c r="C191" i="2" s="1"/>
  <c r="C192" i="2" s="1"/>
  <c r="C193" i="2" s="1"/>
  <c r="C194" i="2" s="1"/>
  <c r="C195" i="2" s="1"/>
  <c r="D91" i="2"/>
  <c r="D92" i="2" s="1"/>
  <c r="E99" i="2"/>
  <c r="E98" i="2"/>
  <c r="G222" i="2"/>
  <c r="E201" i="2"/>
  <c r="D202" i="2"/>
  <c r="E202" i="2" s="1"/>
  <c r="D203" i="2"/>
  <c r="F203" i="2" s="1"/>
  <c r="C204" i="2"/>
  <c r="E186" i="2"/>
  <c r="F185" i="2"/>
  <c r="F186" i="2"/>
  <c r="D88" i="2"/>
  <c r="D45" i="2"/>
  <c r="D47" i="2" l="1"/>
  <c r="D124" i="2"/>
  <c r="D125" i="2" s="1"/>
  <c r="D187" i="2"/>
  <c r="F187" i="2" s="1"/>
  <c r="F202" i="2"/>
  <c r="C101" i="2"/>
  <c r="C205" i="2"/>
  <c r="D204" i="2"/>
  <c r="E204" i="2" s="1"/>
  <c r="E203" i="2"/>
  <c r="D188" i="2"/>
  <c r="E188" i="2" s="1"/>
  <c r="D100" i="2"/>
  <c r="F100" i="2" s="1"/>
  <c r="E187" i="2" l="1"/>
  <c r="E100" i="2"/>
  <c r="C102" i="2"/>
  <c r="D205" i="2"/>
  <c r="E205" i="2" s="1"/>
  <c r="C206" i="2"/>
  <c r="F204" i="2"/>
  <c r="F188" i="2"/>
  <c r="D189" i="2"/>
  <c r="E189" i="2" s="1"/>
  <c r="D101" i="2"/>
  <c r="F101" i="2" s="1"/>
  <c r="F189" i="2" l="1"/>
  <c r="E101" i="2"/>
  <c r="C103" i="2"/>
  <c r="C207" i="2"/>
  <c r="D206" i="2"/>
  <c r="E206" i="2" s="1"/>
  <c r="F205" i="2"/>
  <c r="D190" i="2"/>
  <c r="E190" i="2" s="1"/>
  <c r="D102" i="2"/>
  <c r="F102" i="2" s="1"/>
  <c r="E102" i="2" l="1"/>
  <c r="C104" i="2"/>
  <c r="D207" i="2"/>
  <c r="E207" i="2" s="1"/>
  <c r="C208" i="2"/>
  <c r="F206" i="2"/>
  <c r="F190" i="2"/>
  <c r="D191" i="2"/>
  <c r="E191" i="2" s="1"/>
  <c r="D103" i="2"/>
  <c r="F103" i="2" s="1"/>
  <c r="E103" i="2" l="1"/>
  <c r="C105" i="2"/>
  <c r="C209" i="2"/>
  <c r="D208" i="2"/>
  <c r="E208" i="2" s="1"/>
  <c r="F207" i="2"/>
  <c r="F191" i="2"/>
  <c r="D192" i="2"/>
  <c r="E192" i="2" s="1"/>
  <c r="D104" i="2"/>
  <c r="F104" i="2" s="1"/>
  <c r="E104" i="2" l="1"/>
  <c r="F192" i="2"/>
  <c r="C106" i="2"/>
  <c r="C210" i="2"/>
  <c r="D209" i="2"/>
  <c r="E209" i="2" s="1"/>
  <c r="F208" i="2"/>
  <c r="D193" i="2"/>
  <c r="E193" i="2" s="1"/>
  <c r="D105" i="2"/>
  <c r="F105" i="2" s="1"/>
  <c r="C107" i="2" l="1"/>
  <c r="E105" i="2"/>
  <c r="F193" i="2"/>
  <c r="C211" i="2"/>
  <c r="D211" i="2" s="1"/>
  <c r="D210" i="2"/>
  <c r="E210" i="2" s="1"/>
  <c r="F209" i="2"/>
  <c r="D194" i="2"/>
  <c r="E194" i="2" s="1"/>
  <c r="D106" i="2"/>
  <c r="F106" i="2" s="1"/>
  <c r="E106" i="2" l="1"/>
  <c r="C108" i="2"/>
  <c r="F210" i="2"/>
  <c r="E211" i="2"/>
  <c r="F194" i="2"/>
  <c r="D195" i="2"/>
  <c r="F195" i="2" s="1"/>
  <c r="D107" i="2"/>
  <c r="F107" i="2" s="1"/>
  <c r="E107" i="2" l="1"/>
  <c r="C109" i="2"/>
  <c r="F211" i="2"/>
  <c r="E195" i="2"/>
  <c r="D108" i="2"/>
  <c r="F108" i="2" s="1"/>
  <c r="E108" i="2" l="1"/>
  <c r="C110" i="2"/>
  <c r="D109" i="2"/>
  <c r="F109" i="2" s="1"/>
  <c r="E109" i="2" l="1"/>
  <c r="C111" i="2"/>
  <c r="D110" i="2"/>
  <c r="F110" i="2" s="1"/>
  <c r="E110" i="2" l="1"/>
  <c r="C112" i="2"/>
  <c r="D111" i="2"/>
  <c r="F111" i="2" s="1"/>
  <c r="E111" i="2" l="1"/>
  <c r="C113" i="2"/>
  <c r="D113" i="2" s="1"/>
  <c r="F113" i="2" s="1"/>
  <c r="D112" i="2"/>
  <c r="F112" i="2" s="1"/>
  <c r="E112" i="2" l="1"/>
  <c r="E113" i="2"/>
</calcChain>
</file>

<file path=xl/sharedStrings.xml><?xml version="1.0" encoding="utf-8"?>
<sst xmlns="http://schemas.openxmlformats.org/spreadsheetml/2006/main" count="154" uniqueCount="117">
  <si>
    <t>1.</t>
  </si>
  <si>
    <t>2.</t>
  </si>
  <si>
    <t>3.</t>
  </si>
  <si>
    <t>4.</t>
  </si>
  <si>
    <t>5.</t>
  </si>
  <si>
    <t>6.</t>
  </si>
  <si>
    <t>7.</t>
  </si>
  <si>
    <t>8.</t>
  </si>
  <si>
    <t>9.</t>
  </si>
  <si>
    <t>10.</t>
  </si>
  <si>
    <t>11.</t>
  </si>
  <si>
    <t>12.</t>
  </si>
  <si>
    <t>13.</t>
  </si>
  <si>
    <r>
      <t>CF</t>
    </r>
    <r>
      <rPr>
        <vertAlign val="subscript"/>
        <sz val="9"/>
        <rFont val="Arial"/>
        <family val="2"/>
      </rPr>
      <t>1</t>
    </r>
  </si>
  <si>
    <r>
      <t>Prob(CF</t>
    </r>
    <r>
      <rPr>
        <vertAlign val="subscript"/>
        <sz val="9"/>
        <rFont val="Arial"/>
        <family val="2"/>
      </rPr>
      <t>1</t>
    </r>
    <r>
      <rPr>
        <sz val="9"/>
        <rFont val="Arial"/>
        <family val="2"/>
      </rPr>
      <t>)</t>
    </r>
  </si>
  <si>
    <r>
      <t>E(CF</t>
    </r>
    <r>
      <rPr>
        <vertAlign val="subscript"/>
        <sz val="9"/>
        <rFont val="Arial"/>
        <family val="2"/>
      </rPr>
      <t>1</t>
    </r>
    <r>
      <rPr>
        <sz val="9"/>
        <rFont val="Arial"/>
        <family val="2"/>
      </rPr>
      <t>)</t>
    </r>
  </si>
  <si>
    <r>
      <t>E(r) = CF</t>
    </r>
    <r>
      <rPr>
        <vertAlign val="subscript"/>
        <sz val="9"/>
        <rFont val="Arial"/>
        <family val="2"/>
      </rPr>
      <t>1</t>
    </r>
    <r>
      <rPr>
        <sz val="9"/>
        <rFont val="Arial"/>
        <family val="2"/>
      </rPr>
      <t xml:space="preserve"> / Inv -1   =&gt;   Inv = CF</t>
    </r>
    <r>
      <rPr>
        <vertAlign val="subscript"/>
        <sz val="9"/>
        <rFont val="Arial"/>
        <family val="2"/>
      </rPr>
      <t>1</t>
    </r>
    <r>
      <rPr>
        <sz val="9"/>
        <rFont val="Arial"/>
        <family val="2"/>
      </rPr>
      <t xml:space="preserve"> / (E(r) + 1)</t>
    </r>
  </si>
  <si>
    <t>3. a.</t>
  </si>
  <si>
    <t>3. b.</t>
  </si>
  <si>
    <r>
      <t>Investment</t>
    </r>
    <r>
      <rPr>
        <vertAlign val="subscript"/>
        <sz val="9"/>
        <rFont val="Arial"/>
        <family val="2"/>
      </rPr>
      <t>0</t>
    </r>
  </si>
  <si>
    <t>Then, by construction…</t>
  </si>
  <si>
    <t xml:space="preserve">E(r) </t>
  </si>
  <si>
    <t>3. c.</t>
  </si>
  <si>
    <t>If E(r) must be equal to 14% (= 10%+4%), then…</t>
  </si>
  <si>
    <t>3. d.</t>
  </si>
  <si>
    <t>A</t>
  </si>
  <si>
    <r>
      <t>r</t>
    </r>
    <r>
      <rPr>
        <vertAlign val="subscript"/>
        <sz val="9"/>
        <rFont val="Arial"/>
        <family val="2"/>
      </rPr>
      <t>Tbill</t>
    </r>
  </si>
  <si>
    <r>
      <t>w</t>
    </r>
    <r>
      <rPr>
        <vertAlign val="subscript"/>
        <sz val="9"/>
        <color rgb="FF000000"/>
        <rFont val="Arial"/>
        <family val="2"/>
      </rPr>
      <t>T-bills</t>
    </r>
  </si>
  <si>
    <t>A =</t>
  </si>
  <si>
    <r>
      <t>E(r</t>
    </r>
    <r>
      <rPr>
        <vertAlign val="subscript"/>
        <sz val="9"/>
        <rFont val="Arial"/>
        <family val="2"/>
      </rPr>
      <t>RiskyPort</t>
    </r>
    <r>
      <rPr>
        <sz val="9"/>
        <rFont val="Arial"/>
        <family val="2"/>
      </rPr>
      <t>)</t>
    </r>
  </si>
  <si>
    <r>
      <t>σ</t>
    </r>
    <r>
      <rPr>
        <vertAlign val="subscript"/>
        <sz val="9"/>
        <rFont val="Arial"/>
        <family val="2"/>
      </rPr>
      <t>RiskyPort</t>
    </r>
  </si>
  <si>
    <r>
      <t>E(r</t>
    </r>
    <r>
      <rPr>
        <vertAlign val="subscript"/>
        <sz val="9"/>
        <rFont val="Arial"/>
        <family val="2"/>
      </rPr>
      <t>ClientPort</t>
    </r>
    <r>
      <rPr>
        <sz val="9"/>
        <rFont val="Arial"/>
        <family val="2"/>
      </rPr>
      <t>)</t>
    </r>
  </si>
  <si>
    <r>
      <t>σ</t>
    </r>
    <r>
      <rPr>
        <vertAlign val="subscript"/>
        <sz val="9"/>
        <rFont val="Arial"/>
        <family val="2"/>
      </rPr>
      <t>ClientPort</t>
    </r>
  </si>
  <si>
    <t>w_A</t>
  </si>
  <si>
    <t>w_B</t>
  </si>
  <si>
    <t>w_C</t>
  </si>
  <si>
    <t>w_Tbill</t>
  </si>
  <si>
    <t>B</t>
  </si>
  <si>
    <t>C</t>
  </si>
  <si>
    <t>Weight in the client's portfolio</t>
  </si>
  <si>
    <t>Weight in the risky portfolo</t>
  </si>
  <si>
    <r>
      <t>SR</t>
    </r>
    <r>
      <rPr>
        <vertAlign val="subscript"/>
        <sz val="9"/>
        <rFont val="Arial"/>
        <family val="2"/>
      </rPr>
      <t>RiskyPort</t>
    </r>
  </si>
  <si>
    <r>
      <t>SR</t>
    </r>
    <r>
      <rPr>
        <vertAlign val="subscript"/>
        <sz val="9"/>
        <rFont val="Arial"/>
        <family val="2"/>
      </rPr>
      <t>ClientPort</t>
    </r>
  </si>
  <si>
    <r>
      <t>w</t>
    </r>
    <r>
      <rPr>
        <vertAlign val="subscript"/>
        <sz val="9"/>
        <color rgb="FF000000"/>
        <rFont val="Arial"/>
        <family val="2"/>
      </rPr>
      <t>RiskyPort</t>
    </r>
  </si>
  <si>
    <r>
      <t>E(r</t>
    </r>
    <r>
      <rPr>
        <vertAlign val="subscript"/>
        <sz val="9"/>
        <rFont val="Arial"/>
        <family val="2"/>
      </rPr>
      <t>Port</t>
    </r>
    <r>
      <rPr>
        <sz val="9"/>
        <rFont val="Arial"/>
        <family val="2"/>
      </rPr>
      <t>)</t>
    </r>
  </si>
  <si>
    <r>
      <t>σ</t>
    </r>
    <r>
      <rPr>
        <vertAlign val="subscript"/>
        <sz val="9"/>
        <rFont val="Arial"/>
        <family val="2"/>
      </rPr>
      <t>Port</t>
    </r>
  </si>
  <si>
    <r>
      <t>E(r) = r</t>
    </r>
    <r>
      <rPr>
        <vertAlign val="subscript"/>
        <sz val="9"/>
        <rFont val="Arial"/>
        <family val="2"/>
      </rPr>
      <t>f</t>
    </r>
    <r>
      <rPr>
        <sz val="9"/>
        <rFont val="Arial"/>
        <family val="2"/>
      </rPr>
      <t xml:space="preserve"> + y * [E(r</t>
    </r>
    <r>
      <rPr>
        <vertAlign val="subscript"/>
        <sz val="9"/>
        <rFont val="Arial"/>
        <family val="2"/>
      </rPr>
      <t>RiskyPort</t>
    </r>
    <r>
      <rPr>
        <sz val="9"/>
        <rFont val="Arial"/>
        <family val="2"/>
      </rPr>
      <t>) - r</t>
    </r>
    <r>
      <rPr>
        <vertAlign val="subscript"/>
        <sz val="9"/>
        <rFont val="Arial"/>
        <family val="2"/>
      </rPr>
      <t>f</t>
    </r>
    <r>
      <rPr>
        <sz val="9"/>
        <rFont val="Arial"/>
        <family val="2"/>
      </rPr>
      <t>]</t>
    </r>
  </si>
  <si>
    <t xml:space="preserve">y = </t>
  </si>
  <si>
    <t>y =</t>
  </si>
  <si>
    <r>
      <t>σ</t>
    </r>
    <r>
      <rPr>
        <vertAlign val="subscript"/>
        <sz val="9"/>
        <rFont val="Arial"/>
        <family val="2"/>
      </rPr>
      <t>E</t>
    </r>
  </si>
  <si>
    <r>
      <t>E(r</t>
    </r>
    <r>
      <rPr>
        <vertAlign val="subscript"/>
        <sz val="9"/>
        <rFont val="Arial"/>
        <family val="2"/>
      </rPr>
      <t>E</t>
    </r>
    <r>
      <rPr>
        <sz val="9"/>
        <rFont val="Arial"/>
        <family val="2"/>
      </rPr>
      <t>)</t>
    </r>
  </si>
  <si>
    <r>
      <t>E(r</t>
    </r>
    <r>
      <rPr>
        <vertAlign val="subscript"/>
        <sz val="9"/>
        <rFont val="Arial"/>
        <family val="2"/>
      </rPr>
      <t>D</t>
    </r>
    <r>
      <rPr>
        <sz val="9"/>
        <rFont val="Arial"/>
        <family val="2"/>
      </rPr>
      <t>)</t>
    </r>
  </si>
  <si>
    <t>Corr(E,D)</t>
  </si>
  <si>
    <r>
      <t>w</t>
    </r>
    <r>
      <rPr>
        <vertAlign val="subscript"/>
        <sz val="9"/>
        <color rgb="FF000000"/>
        <rFont val="Arial"/>
        <family val="2"/>
      </rPr>
      <t>E</t>
    </r>
  </si>
  <si>
    <r>
      <t>w</t>
    </r>
    <r>
      <rPr>
        <vertAlign val="subscript"/>
        <sz val="9"/>
        <color rgb="FF000000"/>
        <rFont val="Arial"/>
        <family val="2"/>
      </rPr>
      <t>D</t>
    </r>
  </si>
  <si>
    <t>Cov(E,D)</t>
  </si>
  <si>
    <r>
      <t>σ</t>
    </r>
    <r>
      <rPr>
        <vertAlign val="subscript"/>
        <sz val="9"/>
        <rFont val="Arial"/>
        <family val="2"/>
      </rPr>
      <t>D</t>
    </r>
  </si>
  <si>
    <r>
      <t>w</t>
    </r>
    <r>
      <rPr>
        <vertAlign val="subscript"/>
        <sz val="9"/>
        <rFont val="Arial"/>
        <family val="2"/>
      </rPr>
      <t>E</t>
    </r>
  </si>
  <si>
    <r>
      <t>w</t>
    </r>
    <r>
      <rPr>
        <vertAlign val="subscript"/>
        <sz val="9"/>
        <rFont val="Arial"/>
        <family val="2"/>
      </rPr>
      <t>D</t>
    </r>
  </si>
  <si>
    <t>σp</t>
  </si>
  <si>
    <t>rf</t>
  </si>
  <si>
    <t>2. a.</t>
  </si>
  <si>
    <t>Desired Return</t>
  </si>
  <si>
    <t>weight risky portfolio</t>
  </si>
  <si>
    <t>weight risk free asset</t>
  </si>
  <si>
    <t>2. b.</t>
  </si>
  <si>
    <t>St. Dev.client's portfolio</t>
  </si>
  <si>
    <t>2. c.</t>
  </si>
  <si>
    <t>Since Stock A and Stock B are perfectly negatively correlated, a risk-free portfolio can be created and the rate of return for this portfolio, in equilibrium, will be the risk-free rate. To find the proportions of this portfolio [with the proportion wA invested in Stock A and wB = (1 – wA ) invested in Stock B], set the standard deviation equal to zero.</t>
  </si>
  <si>
    <t>Therefore,</t>
  </si>
  <si>
    <t>wA</t>
  </si>
  <si>
    <t>wB</t>
  </si>
  <si>
    <t>If variance equals 0 and correlation equals -1, then:</t>
  </si>
  <si>
    <t>Stock</t>
  </si>
  <si>
    <t>Expected return</t>
  </si>
  <si>
    <t>St. Dev</t>
  </si>
  <si>
    <t>Corr.</t>
  </si>
  <si>
    <t>Exp. Return Portfolio</t>
  </si>
  <si>
    <t>Therefore, rf equals</t>
  </si>
  <si>
    <t>9. a.</t>
  </si>
  <si>
    <t>9. b.</t>
  </si>
  <si>
    <t>9. c.</t>
  </si>
  <si>
    <t>10. a.</t>
  </si>
  <si>
    <t>10. b.</t>
  </si>
  <si>
    <t>11. a.</t>
  </si>
  <si>
    <t>11. b.</t>
  </si>
  <si>
    <t>Exp. Ret.</t>
  </si>
  <si>
    <t>St. Dev.</t>
  </si>
  <si>
    <t>Exp. Return</t>
  </si>
  <si>
    <t>a)</t>
  </si>
  <si>
    <t>b)</t>
  </si>
  <si>
    <t>For a given expected cash flow, which is considered fixed, portfolios that command greater risk premiums must be sold at lower prices. The lower price (and higher expected return) is usually seen as a penalty for increased risk.</t>
  </si>
  <si>
    <t>If your client prefers a standard deviation of at most 20%, then:</t>
  </si>
  <si>
    <t>E(risky)</t>
  </si>
  <si>
    <t>Since st. Dev of risky free asset equals 0, then,</t>
  </si>
  <si>
    <r>
      <rPr>
        <b/>
        <sz val="9"/>
        <rFont val="Arial"/>
        <family val="2"/>
      </rPr>
      <t>Answer</t>
    </r>
    <r>
      <rPr>
        <sz val="9"/>
        <rFont val="Arial"/>
        <family val="2"/>
      </rPr>
      <t xml:space="preserve">: b.
</t>
    </r>
    <r>
      <rPr>
        <b/>
        <sz val="9"/>
        <rFont val="Arial"/>
        <family val="2"/>
      </rPr>
      <t>Reasoning</t>
    </r>
    <r>
      <rPr>
        <sz val="9"/>
        <rFont val="Arial"/>
        <family val="2"/>
      </rPr>
      <t>: A higher borrowing rate is a consequence of the risk of the borrowers’ default. In perfect markets with no additional cost of default, this increment would equal the value of the borrower’s option to default, and the Sharpe measure, with appropriate treatment of the default option, would be the same. However, in reality there are costs to default so that this part of the increment lowers the Sharpe ratio. Also, notice that answer (c) is not correct because doubling the expected return and the standard deviation with a fixed risk-free rate will increase the Sharpe Ratio but less than the double.</t>
    </r>
  </si>
  <si>
    <t>If E(r) must be equal to 11% (= 7%+4%), then…</t>
  </si>
  <si>
    <t>11. c.</t>
  </si>
  <si>
    <t>13. a.</t>
  </si>
  <si>
    <t>13. b.</t>
  </si>
  <si>
    <t>13. c.</t>
  </si>
  <si>
    <t>13. d.</t>
  </si>
  <si>
    <t>Stock X</t>
  </si>
  <si>
    <t>Stock Z</t>
  </si>
  <si>
    <t>Risk-free rate</t>
  </si>
  <si>
    <t>Correlation</t>
  </si>
  <si>
    <t>Excess Return</t>
  </si>
  <si>
    <t>Covariance</t>
  </si>
  <si>
    <t>Weight X</t>
  </si>
  <si>
    <t>Weight Z</t>
  </si>
  <si>
    <t>Standard Variation</t>
  </si>
  <si>
    <t>Sharpe</t>
  </si>
  <si>
    <t>% in Tangency Portfolio</t>
  </si>
  <si>
    <t>If the correlation between both funds goes from 0.30 to -0.3, the fronteir of possible portfolios will shift to the left-hand side. Therefore, we are now able to build portfolios with a lower variance than before. In more practical terms, the gains from diversification are now larger than in the part (a).</t>
  </si>
  <si>
    <t>The second client is more risk averse, preferring investments that have less risk as evidenced by the lower standard deviation.</t>
  </si>
  <si>
    <t>If E(r) = 12%, then we can extrapolate the value of y.</t>
  </si>
  <si>
    <t>Both the your fund (100% risky portfolio; 0% risk-free rate) and your client's portfolio (60% risky portfolio; 40% risk-free rate) are on the same CAL and therefore, have the same Sharpe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</si>
</sst>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0.0%"/>
    <numFmt numFmtId="166" formatCode="0.000%"/>
    <numFmt numFmtId="167" formatCode="0.0000"/>
    <numFmt numFmtId="168" formatCode="0.000000000000000%"/>
    <numFmt numFmtId="169" formatCode="0.000"/>
    <numFmt numFmtId="170" formatCode="0.00000"/>
  </numFmts>
  <fonts count="8" x14ac:knownFonts="1">
    <font>
      <sz val="10"/>
      <name val="Arial"/>
    </font>
    <font>
      <sz val="10"/>
      <name val="Arial"/>
      <family val="2"/>
    </font>
    <font>
      <sz val="9"/>
      <name val="Arial"/>
      <family val="2"/>
    </font>
    <font>
      <b/>
      <sz val="9"/>
      <color theme="1"/>
      <name val="Arial"/>
      <family val="2"/>
    </font>
    <font>
      <b/>
      <sz val="9"/>
      <name val="Arial"/>
      <family val="2"/>
    </font>
    <font>
      <vertAlign val="subscript"/>
      <sz val="9"/>
      <name val="Arial"/>
      <family val="2"/>
    </font>
    <font>
      <sz val="9"/>
      <color rgb="FF000000"/>
      <name val="Arial"/>
      <family val="2"/>
    </font>
    <font>
      <vertAlign val="subscript"/>
      <sz val="9"/>
      <color rgb="FF00000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33">
    <xf numFmtId="0" fontId="0" fillId="0" borderId="0" xfId="0"/>
    <xf numFmtId="0" fontId="2" fillId="0" borderId="0" xfId="0" applyFont="1"/>
    <xf numFmtId="0" fontId="3" fillId="0" borderId="0" xfId="0" applyFont="1"/>
    <xf numFmtId="0" fontId="2" fillId="0" borderId="0" xfId="0" quotePrefix="1" applyFont="1"/>
    <xf numFmtId="0" fontId="4" fillId="0" borderId="0" xfId="0" quotePrefix="1" applyFont="1"/>
    <xf numFmtId="0" fontId="2" fillId="0" borderId="0" xfId="0" applyFont="1" applyAlignment="1">
      <alignment vertical="center" wrapText="1"/>
    </xf>
    <xf numFmtId="9" fontId="2" fillId="0" borderId="0" xfId="0" applyNumberFormat="1" applyFont="1"/>
    <xf numFmtId="10" fontId="2" fillId="0" borderId="0" xfId="0" applyNumberFormat="1" applyFont="1"/>
    <xf numFmtId="0" fontId="2" fillId="0" borderId="1" xfId="0" applyFont="1" applyBorder="1"/>
    <xf numFmtId="10" fontId="2" fillId="0" borderId="1" xfId="0" applyNumberFormat="1" applyFont="1" applyBorder="1"/>
    <xf numFmtId="0" fontId="2" fillId="0" borderId="1" xfId="0" applyFont="1" applyBorder="1" applyAlignment="1">
      <alignment horizontal="center" vertical="center"/>
    </xf>
    <xf numFmtId="10" fontId="2" fillId="0" borderId="0" xfId="1" applyNumberFormat="1" applyFont="1"/>
    <xf numFmtId="3" fontId="2" fillId="0" borderId="0" xfId="0" applyNumberFormat="1" applyFont="1"/>
    <xf numFmtId="0" fontId="4" fillId="0" borderId="0" xfId="0" applyFont="1"/>
    <xf numFmtId="10" fontId="2" fillId="0" borderId="0" xfId="0" applyNumberFormat="1" applyFont="1" applyAlignment="1">
      <alignment horizontal="center" vertical="center"/>
    </xf>
    <xf numFmtId="165" fontId="2" fillId="0" borderId="0" xfId="0" applyNumberFormat="1" applyFont="1"/>
    <xf numFmtId="0" fontId="2" fillId="0" borderId="0" xfId="0" applyFont="1" applyAlignment="1">
      <alignment horizontal="left" vertical="center"/>
    </xf>
    <xf numFmtId="164" fontId="2" fillId="0" borderId="0" xfId="0" applyNumberFormat="1" applyFont="1"/>
    <xf numFmtId="0" fontId="6" fillId="0" borderId="1" xfId="0" applyFont="1" applyBorder="1" applyAlignment="1">
      <alignment horizontal="center" vertical="center"/>
    </xf>
    <xf numFmtId="166" fontId="2" fillId="0" borderId="0" xfId="0" applyNumberFormat="1" applyFont="1"/>
    <xf numFmtId="9" fontId="2" fillId="0" borderId="0" xfId="0" applyNumberFormat="1" applyFont="1" applyAlignment="1">
      <alignment vertical="center" wrapText="1"/>
    </xf>
    <xf numFmtId="165" fontId="2" fillId="0" borderId="0" xfId="0" applyNumberFormat="1" applyFont="1" applyAlignment="1">
      <alignment vertical="center" wrapText="1"/>
    </xf>
    <xf numFmtId="10" fontId="2" fillId="0" borderId="0" xfId="0" applyNumberFormat="1" applyFont="1" applyAlignment="1">
      <alignment vertical="center" wrapText="1"/>
    </xf>
    <xf numFmtId="2" fontId="2" fillId="0" borderId="0" xfId="0" applyNumberFormat="1" applyFont="1"/>
    <xf numFmtId="167" fontId="2" fillId="0" borderId="0" xfId="0" applyNumberFormat="1" applyFont="1"/>
    <xf numFmtId="0" fontId="1" fillId="0" borderId="0" xfId="0" applyFont="1"/>
    <xf numFmtId="168" fontId="2" fillId="0" borderId="0" xfId="0" applyNumberFormat="1" applyFont="1" applyAlignment="1">
      <alignment vertical="center" wrapText="1"/>
    </xf>
    <xf numFmtId="169" fontId="2" fillId="0" borderId="0" xfId="0" applyNumberFormat="1" applyFont="1"/>
    <xf numFmtId="170" fontId="2" fillId="0" borderId="0" xfId="0" applyNumberFormat="1" applyFont="1"/>
    <xf numFmtId="10" fontId="2" fillId="0" borderId="0" xfId="0" applyNumberFormat="1" applyFont="1" applyAlignment="1">
      <alignment horizontal="left" vertical="center"/>
    </xf>
    <xf numFmtId="0" fontId="2" fillId="0" borderId="0" xfId="0" applyFont="1" applyAlignment="1">
      <alignment horizontal="center" wrapText="1"/>
    </xf>
    <xf numFmtId="0" fontId="2" fillId="0" borderId="0" xfId="0" applyFont="1" applyAlignment="1">
      <alignment horizontal="left" vertical="center" wrapText="1"/>
    </xf>
    <xf numFmtId="0" fontId="2" fillId="0" borderId="0" xfId="0" applyFont="1" applyAlignment="1">
      <alignment horizontal="center" vertical="center" wrapText="1"/>
    </xf>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1"/>
          <c:order val="1"/>
          <c:tx>
            <c:v>D</c:v>
          </c:tx>
          <c:spPr>
            <a:ln w="25400" cap="rnd">
              <a:noFill/>
              <a:round/>
            </a:ln>
            <a:effectLst/>
          </c:spPr>
          <c:marker>
            <c:symbol val="circle"/>
            <c:size val="5"/>
            <c:spPr>
              <a:solidFill>
                <a:schemeClr val="accent2"/>
              </a:solidFill>
              <a:ln w="9525">
                <a:solidFill>
                  <a:schemeClr val="accent2"/>
                </a:solidFill>
              </a:ln>
              <a:effectLst/>
            </c:spPr>
          </c:marker>
          <c:xVal>
            <c:numRef>
              <c:f>Sheet1!$F$185</c:f>
              <c:numCache>
                <c:formatCode>0.00%</c:formatCode>
                <c:ptCount val="1"/>
                <c:pt idx="0">
                  <c:v>0.1</c:v>
                </c:pt>
              </c:numCache>
            </c:numRef>
          </c:xVal>
          <c:yVal>
            <c:numRef>
              <c:f>Sheet1!$E$185</c:f>
              <c:numCache>
                <c:formatCode>0.00%</c:formatCode>
                <c:ptCount val="1"/>
                <c:pt idx="0">
                  <c:v>0.02</c:v>
                </c:pt>
              </c:numCache>
            </c:numRef>
          </c:yVal>
          <c:smooth val="0"/>
          <c:extLst>
            <c:ext xmlns:c16="http://schemas.microsoft.com/office/drawing/2014/chart" uri="{C3380CC4-5D6E-409C-BE32-E72D297353CC}">
              <c16:uniqueId val="{00000000-370E-4C59-B097-2B2BD13655A8}"/>
            </c:ext>
          </c:extLst>
        </c:ser>
        <c:ser>
          <c:idx val="2"/>
          <c:order val="2"/>
          <c:tx>
            <c:v>E</c:v>
          </c:tx>
          <c:spPr>
            <a:ln w="25400" cap="rnd">
              <a:noFill/>
              <a:round/>
            </a:ln>
            <a:effectLst/>
          </c:spPr>
          <c:marker>
            <c:symbol val="circle"/>
            <c:size val="5"/>
            <c:spPr>
              <a:solidFill>
                <a:schemeClr val="accent3"/>
              </a:solidFill>
              <a:ln w="9525">
                <a:solidFill>
                  <a:schemeClr val="accent3"/>
                </a:solidFill>
              </a:ln>
              <a:effectLst/>
            </c:spPr>
          </c:marker>
          <c:xVal>
            <c:numRef>
              <c:f>Sheet1!$F$195</c:f>
              <c:numCache>
                <c:formatCode>0.00%</c:formatCode>
                <c:ptCount val="1"/>
                <c:pt idx="0">
                  <c:v>0.17999999999999997</c:v>
                </c:pt>
              </c:numCache>
            </c:numRef>
          </c:xVal>
          <c:yVal>
            <c:numRef>
              <c:f>Sheet1!$E$195</c:f>
              <c:numCache>
                <c:formatCode>0.00%</c:formatCode>
                <c:ptCount val="1"/>
                <c:pt idx="0">
                  <c:v>0.11999999999999998</c:v>
                </c:pt>
              </c:numCache>
            </c:numRef>
          </c:yVal>
          <c:smooth val="0"/>
          <c:extLst>
            <c:ext xmlns:c16="http://schemas.microsoft.com/office/drawing/2014/chart" uri="{C3380CC4-5D6E-409C-BE32-E72D297353CC}">
              <c16:uniqueId val="{00000001-370E-4C59-B097-2B2BD13655A8}"/>
            </c:ext>
          </c:extLst>
        </c:ser>
        <c:dLbls>
          <c:showLegendKey val="0"/>
          <c:showVal val="0"/>
          <c:showCatName val="0"/>
          <c:showSerName val="0"/>
          <c:showPercent val="0"/>
          <c:showBubbleSize val="0"/>
        </c:dLbls>
        <c:axId val="7335872"/>
        <c:axId val="7335480"/>
      </c:scatterChart>
      <c:scatterChart>
        <c:scatterStyle val="smoothMarker"/>
        <c:varyColors val="0"/>
        <c:ser>
          <c:idx val="0"/>
          <c:order val="0"/>
          <c:tx>
            <c:v>Frontier</c:v>
          </c:tx>
          <c:spPr>
            <a:ln w="19050" cap="rnd">
              <a:solidFill>
                <a:schemeClr val="accent1"/>
              </a:solidFill>
              <a:round/>
            </a:ln>
            <a:effectLst/>
          </c:spPr>
          <c:marker>
            <c:symbol val="none"/>
          </c:marker>
          <c:xVal>
            <c:numRef>
              <c:f>Sheet1!$F$185:$F$195</c:f>
              <c:numCache>
                <c:formatCode>0.00%</c:formatCode>
                <c:ptCount val="11"/>
                <c:pt idx="0">
                  <c:v>0.1</c:v>
                </c:pt>
                <c:pt idx="1">
                  <c:v>9.693296652842108E-2</c:v>
                </c:pt>
                <c:pt idx="2">
                  <c:v>9.70772887960928E-2</c:v>
                </c:pt>
                <c:pt idx="3">
                  <c:v>0.10041912168506555</c:v>
                </c:pt>
                <c:pt idx="4">
                  <c:v>0.10665833300778708</c:v>
                </c:pt>
                <c:pt idx="5">
                  <c:v>0.11532562594670795</c:v>
                </c:pt>
                <c:pt idx="6">
                  <c:v>0.12592060990957754</c:v>
                </c:pt>
                <c:pt idx="7">
                  <c:v>0.13799999999999998</c:v>
                </c:pt>
                <c:pt idx="8">
                  <c:v>0.15120846537148638</c:v>
                </c:pt>
                <c:pt idx="9">
                  <c:v>0.16527552752903255</c:v>
                </c:pt>
                <c:pt idx="10">
                  <c:v>0.17999999999999997</c:v>
                </c:pt>
              </c:numCache>
            </c:numRef>
          </c:xVal>
          <c:yVal>
            <c:numRef>
              <c:f>Sheet1!$E$185:$E$195</c:f>
              <c:numCache>
                <c:formatCode>0.00%</c:formatCode>
                <c:ptCount val="11"/>
                <c:pt idx="0">
                  <c:v>0.02</c:v>
                </c:pt>
                <c:pt idx="1">
                  <c:v>3.0000000000000002E-2</c:v>
                </c:pt>
                <c:pt idx="2">
                  <c:v>0.04</c:v>
                </c:pt>
                <c:pt idx="3">
                  <c:v>0.05</c:v>
                </c:pt>
                <c:pt idx="4">
                  <c:v>0.06</c:v>
                </c:pt>
                <c:pt idx="5">
                  <c:v>6.9999999999999993E-2</c:v>
                </c:pt>
                <c:pt idx="6">
                  <c:v>7.9999999999999988E-2</c:v>
                </c:pt>
                <c:pt idx="7">
                  <c:v>0.09</c:v>
                </c:pt>
                <c:pt idx="8">
                  <c:v>9.9999999999999992E-2</c:v>
                </c:pt>
                <c:pt idx="9">
                  <c:v>0.10999999999999999</c:v>
                </c:pt>
                <c:pt idx="10">
                  <c:v>0.11999999999999998</c:v>
                </c:pt>
              </c:numCache>
            </c:numRef>
          </c:yVal>
          <c:smooth val="1"/>
          <c:extLst>
            <c:ext xmlns:c16="http://schemas.microsoft.com/office/drawing/2014/chart" uri="{C3380CC4-5D6E-409C-BE32-E72D297353CC}">
              <c16:uniqueId val="{00000002-370E-4C59-B097-2B2BD13655A8}"/>
            </c:ext>
          </c:extLst>
        </c:ser>
        <c:dLbls>
          <c:showLegendKey val="0"/>
          <c:showVal val="0"/>
          <c:showCatName val="0"/>
          <c:showSerName val="0"/>
          <c:showPercent val="0"/>
          <c:showBubbleSize val="0"/>
        </c:dLbls>
        <c:axId val="7335872"/>
        <c:axId val="7335480"/>
      </c:scatterChart>
      <c:valAx>
        <c:axId val="7335872"/>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l-GR"/>
                  <a:t>σ</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35480"/>
        <c:crosses val="autoZero"/>
        <c:crossBetween val="midCat"/>
      </c:valAx>
      <c:valAx>
        <c:axId val="7335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3587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1"/>
          <c:order val="1"/>
          <c:tx>
            <c:v>D</c:v>
          </c:tx>
          <c:spPr>
            <a:ln w="25400" cap="rnd">
              <a:noFill/>
              <a:round/>
            </a:ln>
            <a:effectLst/>
          </c:spPr>
          <c:marker>
            <c:symbol val="circle"/>
            <c:size val="5"/>
            <c:spPr>
              <a:solidFill>
                <a:schemeClr val="accent2"/>
              </a:solidFill>
              <a:ln w="9525">
                <a:solidFill>
                  <a:schemeClr val="accent2"/>
                </a:solidFill>
              </a:ln>
              <a:effectLst/>
            </c:spPr>
          </c:marker>
          <c:xVal>
            <c:numRef>
              <c:f>Sheet1!$F$201</c:f>
              <c:numCache>
                <c:formatCode>0.00%</c:formatCode>
                <c:ptCount val="1"/>
                <c:pt idx="0">
                  <c:v>0.1</c:v>
                </c:pt>
              </c:numCache>
            </c:numRef>
          </c:xVal>
          <c:yVal>
            <c:numRef>
              <c:f>Sheet1!$E$201</c:f>
              <c:numCache>
                <c:formatCode>0.00%</c:formatCode>
                <c:ptCount val="1"/>
                <c:pt idx="0">
                  <c:v>0.02</c:v>
                </c:pt>
              </c:numCache>
            </c:numRef>
          </c:yVal>
          <c:smooth val="0"/>
          <c:extLst>
            <c:ext xmlns:c16="http://schemas.microsoft.com/office/drawing/2014/chart" uri="{C3380CC4-5D6E-409C-BE32-E72D297353CC}">
              <c16:uniqueId val="{00000000-233C-45C7-9E74-B5A6D3CE5712}"/>
            </c:ext>
          </c:extLst>
        </c:ser>
        <c:ser>
          <c:idx val="2"/>
          <c:order val="2"/>
          <c:tx>
            <c:v>E</c:v>
          </c:tx>
          <c:spPr>
            <a:ln w="25400" cap="rnd">
              <a:noFill/>
              <a:round/>
            </a:ln>
            <a:effectLst/>
          </c:spPr>
          <c:marker>
            <c:symbol val="circle"/>
            <c:size val="5"/>
            <c:spPr>
              <a:solidFill>
                <a:schemeClr val="accent3"/>
              </a:solidFill>
              <a:ln w="9525">
                <a:solidFill>
                  <a:schemeClr val="accent3"/>
                </a:solidFill>
              </a:ln>
              <a:effectLst/>
            </c:spPr>
          </c:marker>
          <c:xVal>
            <c:numRef>
              <c:f>Sheet1!$F$211</c:f>
              <c:numCache>
                <c:formatCode>0.00%</c:formatCode>
                <c:ptCount val="1"/>
                <c:pt idx="0">
                  <c:v>0.17999999999999997</c:v>
                </c:pt>
              </c:numCache>
            </c:numRef>
          </c:xVal>
          <c:yVal>
            <c:numRef>
              <c:f>Sheet1!$E$211</c:f>
              <c:numCache>
                <c:formatCode>0.00%</c:formatCode>
                <c:ptCount val="1"/>
                <c:pt idx="0">
                  <c:v>0.11999999999999998</c:v>
                </c:pt>
              </c:numCache>
            </c:numRef>
          </c:yVal>
          <c:smooth val="0"/>
          <c:extLst>
            <c:ext xmlns:c16="http://schemas.microsoft.com/office/drawing/2014/chart" uri="{C3380CC4-5D6E-409C-BE32-E72D297353CC}">
              <c16:uniqueId val="{00000001-233C-45C7-9E74-B5A6D3CE5712}"/>
            </c:ext>
          </c:extLst>
        </c:ser>
        <c:dLbls>
          <c:showLegendKey val="0"/>
          <c:showVal val="0"/>
          <c:showCatName val="0"/>
          <c:showSerName val="0"/>
          <c:showPercent val="0"/>
          <c:showBubbleSize val="0"/>
        </c:dLbls>
        <c:axId val="7334696"/>
        <c:axId val="7339400"/>
      </c:scatterChart>
      <c:scatterChart>
        <c:scatterStyle val="smoothMarker"/>
        <c:varyColors val="0"/>
        <c:ser>
          <c:idx val="0"/>
          <c:order val="0"/>
          <c:tx>
            <c:v>Frontier</c:v>
          </c:tx>
          <c:spPr>
            <a:ln w="19050" cap="rnd">
              <a:solidFill>
                <a:schemeClr val="accent1"/>
              </a:solidFill>
              <a:round/>
            </a:ln>
            <a:effectLst/>
          </c:spPr>
          <c:marker>
            <c:symbol val="none"/>
          </c:marker>
          <c:xVal>
            <c:numRef>
              <c:f>Sheet1!$F$201:$F$211</c:f>
              <c:numCache>
                <c:formatCode>0.00%</c:formatCode>
                <c:ptCount val="11"/>
                <c:pt idx="0">
                  <c:v>0.1</c:v>
                </c:pt>
                <c:pt idx="1">
                  <c:v>8.6324967419628959E-2</c:v>
                </c:pt>
                <c:pt idx="2">
                  <c:v>7.7252831663311886E-2</c:v>
                </c:pt>
                <c:pt idx="3">
                  <c:v>7.4484897798144295E-2</c:v>
                </c:pt>
                <c:pt idx="4">
                  <c:v>7.8689262291624013E-2</c:v>
                </c:pt>
                <c:pt idx="5">
                  <c:v>8.8881944173155897E-2</c:v>
                </c:pt>
                <c:pt idx="6">
                  <c:v>0.10330537256115967</c:v>
                </c:pt>
                <c:pt idx="7">
                  <c:v>0.12044915939930839</c:v>
                </c:pt>
                <c:pt idx="8">
                  <c:v>0.13931259813814398</c:v>
                </c:pt>
                <c:pt idx="9">
                  <c:v>0.15928590647009544</c:v>
                </c:pt>
                <c:pt idx="10">
                  <c:v>0.17999999999999997</c:v>
                </c:pt>
              </c:numCache>
            </c:numRef>
          </c:xVal>
          <c:yVal>
            <c:numRef>
              <c:f>Sheet1!$E$201:$E$211</c:f>
              <c:numCache>
                <c:formatCode>0.00%</c:formatCode>
                <c:ptCount val="11"/>
                <c:pt idx="0">
                  <c:v>0.02</c:v>
                </c:pt>
                <c:pt idx="1">
                  <c:v>3.0000000000000002E-2</c:v>
                </c:pt>
                <c:pt idx="2">
                  <c:v>0.04</c:v>
                </c:pt>
                <c:pt idx="3">
                  <c:v>0.05</c:v>
                </c:pt>
                <c:pt idx="4">
                  <c:v>0.06</c:v>
                </c:pt>
                <c:pt idx="5">
                  <c:v>6.9999999999999993E-2</c:v>
                </c:pt>
                <c:pt idx="6">
                  <c:v>7.9999999999999988E-2</c:v>
                </c:pt>
                <c:pt idx="7">
                  <c:v>0.09</c:v>
                </c:pt>
                <c:pt idx="8">
                  <c:v>9.9999999999999992E-2</c:v>
                </c:pt>
                <c:pt idx="9">
                  <c:v>0.10999999999999999</c:v>
                </c:pt>
                <c:pt idx="10">
                  <c:v>0.11999999999999998</c:v>
                </c:pt>
              </c:numCache>
            </c:numRef>
          </c:yVal>
          <c:smooth val="1"/>
          <c:extLst>
            <c:ext xmlns:c16="http://schemas.microsoft.com/office/drawing/2014/chart" uri="{C3380CC4-5D6E-409C-BE32-E72D297353CC}">
              <c16:uniqueId val="{00000002-233C-45C7-9E74-B5A6D3CE5712}"/>
            </c:ext>
          </c:extLst>
        </c:ser>
        <c:dLbls>
          <c:showLegendKey val="0"/>
          <c:showVal val="0"/>
          <c:showCatName val="0"/>
          <c:showSerName val="0"/>
          <c:showPercent val="0"/>
          <c:showBubbleSize val="0"/>
        </c:dLbls>
        <c:axId val="7334696"/>
        <c:axId val="7339400"/>
      </c:scatterChart>
      <c:valAx>
        <c:axId val="7334696"/>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l-GR"/>
                  <a:t>σ</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39400"/>
        <c:crosses val="autoZero"/>
        <c:crossBetween val="midCat"/>
      </c:valAx>
      <c:valAx>
        <c:axId val="7339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34696"/>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v>Frontier (a)</c:v>
          </c:tx>
          <c:spPr>
            <a:ln w="19050" cap="rnd">
              <a:solidFill>
                <a:schemeClr val="accent1"/>
              </a:solidFill>
              <a:round/>
            </a:ln>
            <a:effectLst/>
          </c:spPr>
          <c:marker>
            <c:symbol val="none"/>
          </c:marker>
          <c:xVal>
            <c:numRef>
              <c:f>Sheet1!$F$185:$F$195</c:f>
              <c:numCache>
                <c:formatCode>0.00%</c:formatCode>
                <c:ptCount val="11"/>
                <c:pt idx="0">
                  <c:v>0.1</c:v>
                </c:pt>
                <c:pt idx="1">
                  <c:v>9.693296652842108E-2</c:v>
                </c:pt>
                <c:pt idx="2">
                  <c:v>9.70772887960928E-2</c:v>
                </c:pt>
                <c:pt idx="3">
                  <c:v>0.10041912168506555</c:v>
                </c:pt>
                <c:pt idx="4">
                  <c:v>0.10665833300778708</c:v>
                </c:pt>
                <c:pt idx="5">
                  <c:v>0.11532562594670795</c:v>
                </c:pt>
                <c:pt idx="6">
                  <c:v>0.12592060990957754</c:v>
                </c:pt>
                <c:pt idx="7">
                  <c:v>0.13799999999999998</c:v>
                </c:pt>
                <c:pt idx="8">
                  <c:v>0.15120846537148638</c:v>
                </c:pt>
                <c:pt idx="9">
                  <c:v>0.16527552752903255</c:v>
                </c:pt>
                <c:pt idx="10">
                  <c:v>0.17999999999999997</c:v>
                </c:pt>
              </c:numCache>
            </c:numRef>
          </c:xVal>
          <c:yVal>
            <c:numRef>
              <c:f>Sheet1!$E$185:$E$195</c:f>
              <c:numCache>
                <c:formatCode>0.00%</c:formatCode>
                <c:ptCount val="11"/>
                <c:pt idx="0">
                  <c:v>0.02</c:v>
                </c:pt>
                <c:pt idx="1">
                  <c:v>3.0000000000000002E-2</c:v>
                </c:pt>
                <c:pt idx="2">
                  <c:v>0.04</c:v>
                </c:pt>
                <c:pt idx="3">
                  <c:v>0.05</c:v>
                </c:pt>
                <c:pt idx="4">
                  <c:v>0.06</c:v>
                </c:pt>
                <c:pt idx="5">
                  <c:v>6.9999999999999993E-2</c:v>
                </c:pt>
                <c:pt idx="6">
                  <c:v>7.9999999999999988E-2</c:v>
                </c:pt>
                <c:pt idx="7">
                  <c:v>0.09</c:v>
                </c:pt>
                <c:pt idx="8">
                  <c:v>9.9999999999999992E-2</c:v>
                </c:pt>
                <c:pt idx="9">
                  <c:v>0.10999999999999999</c:v>
                </c:pt>
                <c:pt idx="10">
                  <c:v>0.11999999999999998</c:v>
                </c:pt>
              </c:numCache>
            </c:numRef>
          </c:yVal>
          <c:smooth val="1"/>
          <c:extLst>
            <c:ext xmlns:c16="http://schemas.microsoft.com/office/drawing/2014/chart" uri="{C3380CC4-5D6E-409C-BE32-E72D297353CC}">
              <c16:uniqueId val="{00000002-61C1-47BA-B628-4DD360373EB5}"/>
            </c:ext>
          </c:extLst>
        </c:ser>
        <c:ser>
          <c:idx val="4"/>
          <c:order val="4"/>
          <c:tx>
            <c:v>Frontier (b)</c:v>
          </c:tx>
          <c:spPr>
            <a:ln w="19050" cap="rnd">
              <a:solidFill>
                <a:schemeClr val="accent5"/>
              </a:solidFill>
              <a:round/>
            </a:ln>
            <a:effectLst/>
          </c:spPr>
          <c:marker>
            <c:symbol val="none"/>
          </c:marker>
          <c:xVal>
            <c:numRef>
              <c:f>Sheet1!$F$201:$F$211</c:f>
              <c:numCache>
                <c:formatCode>0.00%</c:formatCode>
                <c:ptCount val="11"/>
                <c:pt idx="0">
                  <c:v>0.1</c:v>
                </c:pt>
                <c:pt idx="1">
                  <c:v>8.6324967419628959E-2</c:v>
                </c:pt>
                <c:pt idx="2">
                  <c:v>7.7252831663311886E-2</c:v>
                </c:pt>
                <c:pt idx="3">
                  <c:v>7.4484897798144295E-2</c:v>
                </c:pt>
                <c:pt idx="4">
                  <c:v>7.8689262291624013E-2</c:v>
                </c:pt>
                <c:pt idx="5">
                  <c:v>8.8881944173155897E-2</c:v>
                </c:pt>
                <c:pt idx="6">
                  <c:v>0.10330537256115967</c:v>
                </c:pt>
                <c:pt idx="7">
                  <c:v>0.12044915939930839</c:v>
                </c:pt>
                <c:pt idx="8">
                  <c:v>0.13931259813814398</c:v>
                </c:pt>
                <c:pt idx="9">
                  <c:v>0.15928590647009544</c:v>
                </c:pt>
                <c:pt idx="10">
                  <c:v>0.17999999999999997</c:v>
                </c:pt>
              </c:numCache>
            </c:numRef>
          </c:xVal>
          <c:yVal>
            <c:numRef>
              <c:f>Sheet1!$E$201:$E$211</c:f>
              <c:numCache>
                <c:formatCode>0.00%</c:formatCode>
                <c:ptCount val="11"/>
                <c:pt idx="0">
                  <c:v>0.02</c:v>
                </c:pt>
                <c:pt idx="1">
                  <c:v>3.0000000000000002E-2</c:v>
                </c:pt>
                <c:pt idx="2">
                  <c:v>0.04</c:v>
                </c:pt>
                <c:pt idx="3">
                  <c:v>0.05</c:v>
                </c:pt>
                <c:pt idx="4">
                  <c:v>0.06</c:v>
                </c:pt>
                <c:pt idx="5">
                  <c:v>6.9999999999999993E-2</c:v>
                </c:pt>
                <c:pt idx="6">
                  <c:v>7.9999999999999988E-2</c:v>
                </c:pt>
                <c:pt idx="7">
                  <c:v>0.09</c:v>
                </c:pt>
                <c:pt idx="8">
                  <c:v>9.9999999999999992E-2</c:v>
                </c:pt>
                <c:pt idx="9">
                  <c:v>0.10999999999999999</c:v>
                </c:pt>
                <c:pt idx="10">
                  <c:v>0.11999999999999998</c:v>
                </c:pt>
              </c:numCache>
            </c:numRef>
          </c:yVal>
          <c:smooth val="1"/>
          <c:extLst>
            <c:ext xmlns:c16="http://schemas.microsoft.com/office/drawing/2014/chart" uri="{C3380CC4-5D6E-409C-BE32-E72D297353CC}">
              <c16:uniqueId val="{00000004-61C1-47BA-B628-4DD360373EB5}"/>
            </c:ext>
          </c:extLst>
        </c:ser>
        <c:dLbls>
          <c:showLegendKey val="0"/>
          <c:showVal val="0"/>
          <c:showCatName val="0"/>
          <c:showSerName val="0"/>
          <c:showPercent val="0"/>
          <c:showBubbleSize val="0"/>
        </c:dLbls>
        <c:axId val="7340576"/>
        <c:axId val="7340968"/>
      </c:scatterChart>
      <c:scatterChart>
        <c:scatterStyle val="lineMarker"/>
        <c:varyColors val="0"/>
        <c:ser>
          <c:idx val="1"/>
          <c:order val="1"/>
          <c:tx>
            <c:v>D</c:v>
          </c:tx>
          <c:spPr>
            <a:ln w="25400" cap="rnd">
              <a:noFill/>
              <a:round/>
            </a:ln>
            <a:effectLst/>
          </c:spPr>
          <c:marker>
            <c:symbol val="circle"/>
            <c:size val="5"/>
            <c:spPr>
              <a:solidFill>
                <a:schemeClr val="accent2"/>
              </a:solidFill>
              <a:ln w="9525">
                <a:solidFill>
                  <a:schemeClr val="accent2"/>
                </a:solidFill>
              </a:ln>
              <a:effectLst/>
            </c:spPr>
          </c:marker>
          <c:xVal>
            <c:numRef>
              <c:f>Sheet1!$F$185</c:f>
              <c:numCache>
                <c:formatCode>0.00%</c:formatCode>
                <c:ptCount val="1"/>
                <c:pt idx="0">
                  <c:v>0.1</c:v>
                </c:pt>
              </c:numCache>
            </c:numRef>
          </c:xVal>
          <c:yVal>
            <c:numRef>
              <c:f>Sheet1!$E$185</c:f>
              <c:numCache>
                <c:formatCode>0.00%</c:formatCode>
                <c:ptCount val="1"/>
                <c:pt idx="0">
                  <c:v>0.02</c:v>
                </c:pt>
              </c:numCache>
            </c:numRef>
          </c:yVal>
          <c:smooth val="0"/>
          <c:extLst>
            <c:ext xmlns:c16="http://schemas.microsoft.com/office/drawing/2014/chart" uri="{C3380CC4-5D6E-409C-BE32-E72D297353CC}">
              <c16:uniqueId val="{00000000-61C1-47BA-B628-4DD360373EB5}"/>
            </c:ext>
          </c:extLst>
        </c:ser>
        <c:ser>
          <c:idx val="2"/>
          <c:order val="2"/>
          <c:tx>
            <c:v>E</c:v>
          </c:tx>
          <c:spPr>
            <a:ln w="25400" cap="rnd">
              <a:noFill/>
              <a:round/>
            </a:ln>
            <a:effectLst/>
          </c:spPr>
          <c:marker>
            <c:symbol val="circle"/>
            <c:size val="5"/>
            <c:spPr>
              <a:solidFill>
                <a:schemeClr val="accent3"/>
              </a:solidFill>
              <a:ln w="9525">
                <a:solidFill>
                  <a:schemeClr val="accent3"/>
                </a:solidFill>
              </a:ln>
              <a:effectLst/>
            </c:spPr>
          </c:marker>
          <c:xVal>
            <c:numRef>
              <c:f>Sheet1!$F$195</c:f>
              <c:numCache>
                <c:formatCode>0.00%</c:formatCode>
                <c:ptCount val="1"/>
                <c:pt idx="0">
                  <c:v>0.17999999999999997</c:v>
                </c:pt>
              </c:numCache>
            </c:numRef>
          </c:xVal>
          <c:yVal>
            <c:numRef>
              <c:f>Sheet1!$E$195</c:f>
              <c:numCache>
                <c:formatCode>0.00%</c:formatCode>
                <c:ptCount val="1"/>
                <c:pt idx="0">
                  <c:v>0.11999999999999998</c:v>
                </c:pt>
              </c:numCache>
            </c:numRef>
          </c:yVal>
          <c:smooth val="0"/>
          <c:extLst>
            <c:ext xmlns:c16="http://schemas.microsoft.com/office/drawing/2014/chart" uri="{C3380CC4-5D6E-409C-BE32-E72D297353CC}">
              <c16:uniqueId val="{00000001-61C1-47BA-B628-4DD360373EB5}"/>
            </c:ext>
          </c:extLst>
        </c:ser>
        <c:ser>
          <c:idx val="3"/>
          <c:order val="3"/>
          <c:tx>
            <c:v>MVP (a)</c:v>
          </c:tx>
          <c:spPr>
            <a:ln w="25400" cap="rnd">
              <a:noFill/>
              <a:round/>
            </a:ln>
            <a:effectLst/>
          </c:spPr>
          <c:marker>
            <c:symbol val="circle"/>
            <c:size val="5"/>
            <c:spPr>
              <a:solidFill>
                <a:schemeClr val="accent4"/>
              </a:solidFill>
              <a:ln w="9525">
                <a:solidFill>
                  <a:schemeClr val="accent4"/>
                </a:solidFill>
              </a:ln>
              <a:effectLst/>
            </c:spPr>
          </c:marker>
          <c:xVal>
            <c:numRef>
              <c:f>Sheet1!$G$222</c:f>
              <c:numCache>
                <c:formatCode>0.00%</c:formatCode>
                <c:ptCount val="1"/>
                <c:pt idx="0">
                  <c:v>9.65938908359915E-2</c:v>
                </c:pt>
              </c:numCache>
            </c:numRef>
          </c:xVal>
          <c:yVal>
            <c:numRef>
              <c:f>Sheet1!$G$221</c:f>
              <c:numCache>
                <c:formatCode>0.00%</c:formatCode>
                <c:ptCount val="1"/>
                <c:pt idx="0">
                  <c:v>3.4556962025316482E-2</c:v>
                </c:pt>
              </c:numCache>
            </c:numRef>
          </c:yVal>
          <c:smooth val="0"/>
          <c:extLst>
            <c:ext xmlns:c16="http://schemas.microsoft.com/office/drawing/2014/chart" uri="{C3380CC4-5D6E-409C-BE32-E72D297353CC}">
              <c16:uniqueId val="{00000003-61C1-47BA-B628-4DD360373EB5}"/>
            </c:ext>
          </c:extLst>
        </c:ser>
        <c:ser>
          <c:idx val="5"/>
          <c:order val="5"/>
          <c:tx>
            <c:v>MVP (b)</c:v>
          </c:tx>
          <c:spPr>
            <a:ln w="25400" cap="rnd">
              <a:noFill/>
              <a:round/>
            </a:ln>
            <a:effectLst/>
          </c:spPr>
          <c:marker>
            <c:symbol val="circle"/>
            <c:size val="5"/>
            <c:spPr>
              <a:solidFill>
                <a:schemeClr val="accent6"/>
              </a:solidFill>
              <a:ln w="9525">
                <a:solidFill>
                  <a:schemeClr val="accent6"/>
                </a:solidFill>
              </a:ln>
              <a:effectLst/>
            </c:spPr>
          </c:marker>
          <c:xVal>
            <c:numRef>
              <c:f>Sheet1!$D$229</c:f>
              <c:numCache>
                <c:formatCode>0.00%</c:formatCode>
                <c:ptCount val="1"/>
                <c:pt idx="0">
                  <c:v>7.4445317268166014E-2</c:v>
                </c:pt>
              </c:numCache>
            </c:numRef>
          </c:xVal>
          <c:yVal>
            <c:numRef>
              <c:f>Sheet1!$D$228</c:f>
              <c:numCache>
                <c:formatCode>0.00%</c:formatCode>
                <c:ptCount val="1"/>
                <c:pt idx="0">
                  <c:v>4.8947368421052628E-2</c:v>
                </c:pt>
              </c:numCache>
            </c:numRef>
          </c:yVal>
          <c:smooth val="0"/>
          <c:extLst>
            <c:ext xmlns:c16="http://schemas.microsoft.com/office/drawing/2014/chart" uri="{C3380CC4-5D6E-409C-BE32-E72D297353CC}">
              <c16:uniqueId val="{00000005-61C1-47BA-B628-4DD360373EB5}"/>
            </c:ext>
          </c:extLst>
        </c:ser>
        <c:dLbls>
          <c:showLegendKey val="0"/>
          <c:showVal val="0"/>
          <c:showCatName val="0"/>
          <c:showSerName val="0"/>
          <c:showPercent val="0"/>
          <c:showBubbleSize val="0"/>
        </c:dLbls>
        <c:axId val="7340576"/>
        <c:axId val="7340968"/>
      </c:scatterChart>
      <c:valAx>
        <c:axId val="7340576"/>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l-GR"/>
                  <a:t>σ</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40968"/>
        <c:crosses val="autoZero"/>
        <c:crossBetween val="midCat"/>
      </c:valAx>
      <c:valAx>
        <c:axId val="7340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40576"/>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v>CAL</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Sheet1!$F$98:$F$113</c:f>
              <c:numCache>
                <c:formatCode>0.00%</c:formatCode>
                <c:ptCount val="16"/>
                <c:pt idx="0">
                  <c:v>0</c:v>
                </c:pt>
                <c:pt idx="1">
                  <c:v>3.1999999999999994E-2</c:v>
                </c:pt>
                <c:pt idx="2">
                  <c:v>6.3999999999999987E-2</c:v>
                </c:pt>
                <c:pt idx="3">
                  <c:v>9.5999999999999974E-2</c:v>
                </c:pt>
                <c:pt idx="4">
                  <c:v>0.12799999999999997</c:v>
                </c:pt>
                <c:pt idx="5">
                  <c:v>0.15999999999999998</c:v>
                </c:pt>
                <c:pt idx="6">
                  <c:v>0.19199999999999995</c:v>
                </c:pt>
                <c:pt idx="7">
                  <c:v>0.22399999999999995</c:v>
                </c:pt>
                <c:pt idx="8">
                  <c:v>0.25599999999999995</c:v>
                </c:pt>
                <c:pt idx="9">
                  <c:v>0.28799999999999998</c:v>
                </c:pt>
                <c:pt idx="10">
                  <c:v>0.31999999999999995</c:v>
                </c:pt>
                <c:pt idx="11">
                  <c:v>0.35199999999999998</c:v>
                </c:pt>
                <c:pt idx="12">
                  <c:v>0.38400000000000001</c:v>
                </c:pt>
                <c:pt idx="13">
                  <c:v>0.41599999999999993</c:v>
                </c:pt>
                <c:pt idx="14">
                  <c:v>0.44800000000000001</c:v>
                </c:pt>
                <c:pt idx="15">
                  <c:v>0.48000000000000004</c:v>
                </c:pt>
              </c:numCache>
            </c:numRef>
          </c:xVal>
          <c:yVal>
            <c:numRef>
              <c:f>Sheet1!$E$98:$E$113</c:f>
              <c:numCache>
                <c:formatCode>0.00%</c:formatCode>
                <c:ptCount val="16"/>
                <c:pt idx="0">
                  <c:v>0.02</c:v>
                </c:pt>
                <c:pt idx="1">
                  <c:v>3.3000000000000002E-2</c:v>
                </c:pt>
                <c:pt idx="2">
                  <c:v>4.5999999999999992E-2</c:v>
                </c:pt>
                <c:pt idx="3">
                  <c:v>5.8999999999999997E-2</c:v>
                </c:pt>
                <c:pt idx="4">
                  <c:v>7.1999999999999981E-2</c:v>
                </c:pt>
                <c:pt idx="5">
                  <c:v>8.4999999999999992E-2</c:v>
                </c:pt>
                <c:pt idx="6">
                  <c:v>9.799999999999999E-2</c:v>
                </c:pt>
                <c:pt idx="7">
                  <c:v>0.11099999999999997</c:v>
                </c:pt>
                <c:pt idx="8">
                  <c:v>0.12399999999999997</c:v>
                </c:pt>
                <c:pt idx="9">
                  <c:v>0.13699999999999998</c:v>
                </c:pt>
                <c:pt idx="10">
                  <c:v>0.14999999999999997</c:v>
                </c:pt>
                <c:pt idx="11">
                  <c:v>0.16299999999999998</c:v>
                </c:pt>
                <c:pt idx="12">
                  <c:v>0.17599999999999999</c:v>
                </c:pt>
                <c:pt idx="13">
                  <c:v>0.18899999999999997</c:v>
                </c:pt>
                <c:pt idx="14">
                  <c:v>0.20199999999999999</c:v>
                </c:pt>
                <c:pt idx="15">
                  <c:v>0.21499999999999997</c:v>
                </c:pt>
              </c:numCache>
            </c:numRef>
          </c:yVal>
          <c:smooth val="1"/>
          <c:extLst>
            <c:ext xmlns:c16="http://schemas.microsoft.com/office/drawing/2014/chart" uri="{C3380CC4-5D6E-409C-BE32-E72D297353CC}">
              <c16:uniqueId val="{00000000-7573-E84C-AF9F-C5BD9AC5825C}"/>
            </c:ext>
          </c:extLst>
        </c:ser>
        <c:ser>
          <c:idx val="1"/>
          <c:order val="1"/>
          <c:tx>
            <c:v>Client</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Sheet1!$F$104</c:f>
              <c:numCache>
                <c:formatCode>0.00%</c:formatCode>
                <c:ptCount val="1"/>
                <c:pt idx="0">
                  <c:v>0.19199999999999995</c:v>
                </c:pt>
              </c:numCache>
            </c:numRef>
          </c:xVal>
          <c:yVal>
            <c:numRef>
              <c:f>Sheet1!$E$104</c:f>
              <c:numCache>
                <c:formatCode>0.00%</c:formatCode>
                <c:ptCount val="1"/>
                <c:pt idx="0">
                  <c:v>9.799999999999999E-2</c:v>
                </c:pt>
              </c:numCache>
            </c:numRef>
          </c:yVal>
          <c:smooth val="1"/>
          <c:extLst>
            <c:ext xmlns:c16="http://schemas.microsoft.com/office/drawing/2014/chart" uri="{C3380CC4-5D6E-409C-BE32-E72D297353CC}">
              <c16:uniqueId val="{00000002-7573-E84C-AF9F-C5BD9AC5825C}"/>
            </c:ext>
          </c:extLst>
        </c:ser>
        <c:ser>
          <c:idx val="2"/>
          <c:order val="2"/>
          <c:tx>
            <c:v>Fund</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Sheet1!$F$108</c:f>
              <c:numCache>
                <c:formatCode>0.00%</c:formatCode>
                <c:ptCount val="1"/>
                <c:pt idx="0">
                  <c:v>0.31999999999999995</c:v>
                </c:pt>
              </c:numCache>
            </c:numRef>
          </c:xVal>
          <c:yVal>
            <c:numRef>
              <c:f>Sheet1!$E$108</c:f>
              <c:numCache>
                <c:formatCode>0.00%</c:formatCode>
                <c:ptCount val="1"/>
                <c:pt idx="0">
                  <c:v>0.14999999999999997</c:v>
                </c:pt>
              </c:numCache>
            </c:numRef>
          </c:yVal>
          <c:smooth val="1"/>
          <c:extLst>
            <c:ext xmlns:c16="http://schemas.microsoft.com/office/drawing/2014/chart" uri="{C3380CC4-5D6E-409C-BE32-E72D297353CC}">
              <c16:uniqueId val="{00000003-7573-E84C-AF9F-C5BD9AC5825C}"/>
            </c:ext>
          </c:extLst>
        </c:ser>
        <c:dLbls>
          <c:showLegendKey val="0"/>
          <c:showVal val="0"/>
          <c:showCatName val="0"/>
          <c:showSerName val="0"/>
          <c:showPercent val="0"/>
          <c:showBubbleSize val="0"/>
        </c:dLbls>
        <c:axId val="1271562576"/>
        <c:axId val="1271564208"/>
      </c:scatterChart>
      <c:valAx>
        <c:axId val="1271562576"/>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1564208"/>
        <c:crosses val="autoZero"/>
        <c:crossBetween val="midCat"/>
      </c:valAx>
      <c:valAx>
        <c:axId val="127156420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1562576"/>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chart" Target="../charts/chart4.xml"/><Relationship Id="rId3" Type="http://schemas.openxmlformats.org/officeDocument/2006/relationships/chart" Target="../charts/chart3.xml"/><Relationship Id="rId7" Type="http://schemas.openxmlformats.org/officeDocument/2006/relationships/image" Target="../media/image4.png"/><Relationship Id="rId12" Type="http://schemas.openxmlformats.org/officeDocument/2006/relationships/image" Target="../media/image9.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png"/><Relationship Id="rId11" Type="http://schemas.openxmlformats.org/officeDocument/2006/relationships/image" Target="../media/image8.png"/><Relationship Id="rId5" Type="http://schemas.openxmlformats.org/officeDocument/2006/relationships/image" Target="../media/image2.png"/><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6</xdr:col>
      <xdr:colOff>9525</xdr:colOff>
      <xdr:row>181</xdr:row>
      <xdr:rowOff>9525</xdr:rowOff>
    </xdr:from>
    <xdr:to>
      <xdr:col>13</xdr:col>
      <xdr:colOff>314325</xdr:colOff>
      <xdr:row>195</xdr:row>
      <xdr:rowOff>16875</xdr:rowOff>
    </xdr:to>
    <xdr:graphicFrame macro="">
      <xdr:nvGraphicFramePr>
        <xdr:cNvPr id="17" name="Chart 16">
          <a:extLst>
            <a:ext uri="{FF2B5EF4-FFF2-40B4-BE49-F238E27FC236}">
              <a16:creationId xmlns:a16="http://schemas.microsoft.com/office/drawing/2014/main" id="{AFE9602B-21B2-446F-98E5-09B76346E9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441325</xdr:colOff>
      <xdr:row>197</xdr:row>
      <xdr:rowOff>22225</xdr:rowOff>
    </xdr:from>
    <xdr:to>
      <xdr:col>14</xdr:col>
      <xdr:colOff>47625</xdr:colOff>
      <xdr:row>211</xdr:row>
      <xdr:rowOff>29575</xdr:rowOff>
    </xdr:to>
    <xdr:graphicFrame macro="">
      <xdr:nvGraphicFramePr>
        <xdr:cNvPr id="18" name="Chart 17">
          <a:extLst>
            <a:ext uri="{FF2B5EF4-FFF2-40B4-BE49-F238E27FC236}">
              <a16:creationId xmlns:a16="http://schemas.microsoft.com/office/drawing/2014/main" id="{1430943C-9F45-4A77-BDB6-14E22CAE5C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47625</xdr:colOff>
      <xdr:row>216</xdr:row>
      <xdr:rowOff>9525</xdr:rowOff>
    </xdr:from>
    <xdr:to>
      <xdr:col>16</xdr:col>
      <xdr:colOff>352425</xdr:colOff>
      <xdr:row>229</xdr:row>
      <xdr:rowOff>35925</xdr:rowOff>
    </xdr:to>
    <xdr:graphicFrame macro="">
      <xdr:nvGraphicFramePr>
        <xdr:cNvPr id="19" name="Chart 18">
          <a:extLst>
            <a:ext uri="{FF2B5EF4-FFF2-40B4-BE49-F238E27FC236}">
              <a16:creationId xmlns:a16="http://schemas.microsoft.com/office/drawing/2014/main" id="{8647A50A-F7AF-4A99-8081-D55B19E16A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193675</xdr:colOff>
      <xdr:row>216</xdr:row>
      <xdr:rowOff>38100</xdr:rowOff>
    </xdr:from>
    <xdr:to>
      <xdr:col>8</xdr:col>
      <xdr:colOff>384175</xdr:colOff>
      <xdr:row>217</xdr:row>
      <xdr:rowOff>114300</xdr:rowOff>
    </xdr:to>
    <xdr:sp macro="" textlink="">
      <xdr:nvSpPr>
        <xdr:cNvPr id="20" name="Arrow: Right 19">
          <a:extLst>
            <a:ext uri="{FF2B5EF4-FFF2-40B4-BE49-F238E27FC236}">
              <a16:creationId xmlns:a16="http://schemas.microsoft.com/office/drawing/2014/main" id="{D7AE7677-B490-4F3E-98FA-B1F716476967}"/>
            </a:ext>
          </a:extLst>
        </xdr:cNvPr>
        <xdr:cNvSpPr/>
      </xdr:nvSpPr>
      <xdr:spPr>
        <a:xfrm>
          <a:off x="5387975" y="28803600"/>
          <a:ext cx="889000" cy="228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66675</xdr:colOff>
      <xdr:row>223</xdr:row>
      <xdr:rowOff>38100</xdr:rowOff>
    </xdr:from>
    <xdr:to>
      <xdr:col>8</xdr:col>
      <xdr:colOff>381635</xdr:colOff>
      <xdr:row>224</xdr:row>
      <xdr:rowOff>114300</xdr:rowOff>
    </xdr:to>
    <xdr:sp macro="" textlink="">
      <xdr:nvSpPr>
        <xdr:cNvPr id="22" name="Arrow: Right 21">
          <a:extLst>
            <a:ext uri="{FF2B5EF4-FFF2-40B4-BE49-F238E27FC236}">
              <a16:creationId xmlns:a16="http://schemas.microsoft.com/office/drawing/2014/main" id="{25A3B014-8A66-4B71-BD8C-03ED2F5146E3}"/>
            </a:ext>
          </a:extLst>
        </xdr:cNvPr>
        <xdr:cNvSpPr/>
      </xdr:nvSpPr>
      <xdr:spPr>
        <a:xfrm>
          <a:off x="3165475" y="29870400"/>
          <a:ext cx="3108960" cy="228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2</xdr:col>
      <xdr:colOff>0</xdr:colOff>
      <xdr:row>60</xdr:row>
      <xdr:rowOff>0</xdr:rowOff>
    </xdr:from>
    <xdr:to>
      <xdr:col>6</xdr:col>
      <xdr:colOff>0</xdr:colOff>
      <xdr:row>62</xdr:row>
      <xdr:rowOff>101600</xdr:rowOff>
    </xdr:to>
    <xdr:pic>
      <xdr:nvPicPr>
        <xdr:cNvPr id="2" name="Picture 1">
          <a:extLst>
            <a:ext uri="{FF2B5EF4-FFF2-40B4-BE49-F238E27FC236}">
              <a16:creationId xmlns:a16="http://schemas.microsoft.com/office/drawing/2014/main" id="{705954E0-9C2C-6C4C-AFD2-2244779E0DAA}"/>
            </a:ext>
          </a:extLst>
        </xdr:cNvPr>
        <xdr:cNvPicPr>
          <a:picLocks noChangeAspect="1"/>
        </xdr:cNvPicPr>
      </xdr:nvPicPr>
      <xdr:blipFill>
        <a:blip xmlns:r="http://schemas.openxmlformats.org/officeDocument/2006/relationships" r:embed="rId4"/>
        <a:stretch>
          <a:fillRect/>
        </a:stretch>
      </xdr:blipFill>
      <xdr:spPr>
        <a:xfrm>
          <a:off x="901700" y="8013700"/>
          <a:ext cx="3721100" cy="406400"/>
        </a:xfrm>
        <a:prstGeom prst="rect">
          <a:avLst/>
        </a:prstGeom>
      </xdr:spPr>
    </xdr:pic>
    <xdr:clientData/>
  </xdr:twoCellAnchor>
  <xdr:twoCellAnchor editAs="oneCell">
    <xdr:from>
      <xdr:col>2</xdr:col>
      <xdr:colOff>0</xdr:colOff>
      <xdr:row>66</xdr:row>
      <xdr:rowOff>0</xdr:rowOff>
    </xdr:from>
    <xdr:to>
      <xdr:col>3</xdr:col>
      <xdr:colOff>425450</xdr:colOff>
      <xdr:row>69</xdr:row>
      <xdr:rowOff>0</xdr:rowOff>
    </xdr:to>
    <xdr:pic>
      <xdr:nvPicPr>
        <xdr:cNvPr id="4" name="Picture 3">
          <a:extLst>
            <a:ext uri="{FF2B5EF4-FFF2-40B4-BE49-F238E27FC236}">
              <a16:creationId xmlns:a16="http://schemas.microsoft.com/office/drawing/2014/main" id="{6FEF1E1D-533B-6946-84FA-6C0045698962}"/>
            </a:ext>
          </a:extLst>
        </xdr:cNvPr>
        <xdr:cNvPicPr>
          <a:picLocks noChangeAspect="1"/>
        </xdr:cNvPicPr>
      </xdr:nvPicPr>
      <xdr:blipFill>
        <a:blip xmlns:r="http://schemas.openxmlformats.org/officeDocument/2006/relationships" r:embed="rId5"/>
        <a:stretch>
          <a:fillRect/>
        </a:stretch>
      </xdr:blipFill>
      <xdr:spPr>
        <a:xfrm>
          <a:off x="901700" y="8928100"/>
          <a:ext cx="1930400" cy="457200"/>
        </a:xfrm>
        <a:prstGeom prst="rect">
          <a:avLst/>
        </a:prstGeom>
      </xdr:spPr>
    </xdr:pic>
    <xdr:clientData/>
  </xdr:twoCellAnchor>
  <xdr:twoCellAnchor editAs="oneCell">
    <xdr:from>
      <xdr:col>2</xdr:col>
      <xdr:colOff>12700</xdr:colOff>
      <xdr:row>20</xdr:row>
      <xdr:rowOff>12700</xdr:rowOff>
    </xdr:from>
    <xdr:to>
      <xdr:col>5</xdr:col>
      <xdr:colOff>482600</xdr:colOff>
      <xdr:row>22</xdr:row>
      <xdr:rowOff>76200</xdr:rowOff>
    </xdr:to>
    <xdr:pic>
      <xdr:nvPicPr>
        <xdr:cNvPr id="3" name="Picture 2">
          <a:extLst>
            <a:ext uri="{FF2B5EF4-FFF2-40B4-BE49-F238E27FC236}">
              <a16:creationId xmlns:a16="http://schemas.microsoft.com/office/drawing/2014/main" id="{8860B196-7268-BE45-83A2-A3CE643DE351}"/>
            </a:ext>
          </a:extLst>
        </xdr:cNvPr>
        <xdr:cNvPicPr>
          <a:picLocks noChangeAspect="1"/>
        </xdr:cNvPicPr>
      </xdr:nvPicPr>
      <xdr:blipFill>
        <a:blip xmlns:r="http://schemas.openxmlformats.org/officeDocument/2006/relationships" r:embed="rId6"/>
        <a:stretch>
          <a:fillRect/>
        </a:stretch>
      </xdr:blipFill>
      <xdr:spPr>
        <a:xfrm>
          <a:off x="914400" y="3136900"/>
          <a:ext cx="3467100" cy="368300"/>
        </a:xfrm>
        <a:prstGeom prst="rect">
          <a:avLst/>
        </a:prstGeom>
      </xdr:spPr>
    </xdr:pic>
    <xdr:clientData/>
  </xdr:twoCellAnchor>
  <xdr:twoCellAnchor>
    <xdr:from>
      <xdr:col>5</xdr:col>
      <xdr:colOff>660400</xdr:colOff>
      <xdr:row>20</xdr:row>
      <xdr:rowOff>88900</xdr:rowOff>
    </xdr:from>
    <xdr:to>
      <xdr:col>7</xdr:col>
      <xdr:colOff>177800</xdr:colOff>
      <xdr:row>22</xdr:row>
      <xdr:rowOff>12700</xdr:rowOff>
    </xdr:to>
    <xdr:sp macro="" textlink="">
      <xdr:nvSpPr>
        <xdr:cNvPr id="5" name="Right Arrow 4">
          <a:extLst>
            <a:ext uri="{FF2B5EF4-FFF2-40B4-BE49-F238E27FC236}">
              <a16:creationId xmlns:a16="http://schemas.microsoft.com/office/drawing/2014/main" id="{05745828-7EAB-8C43-9A26-F0CB391917A7}"/>
            </a:ext>
          </a:extLst>
        </xdr:cNvPr>
        <xdr:cNvSpPr/>
      </xdr:nvSpPr>
      <xdr:spPr>
        <a:xfrm>
          <a:off x="4457700" y="3213100"/>
          <a:ext cx="914400" cy="228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7</xdr:col>
      <xdr:colOff>254000</xdr:colOff>
      <xdr:row>19</xdr:row>
      <xdr:rowOff>114300</xdr:rowOff>
    </xdr:from>
    <xdr:to>
      <xdr:col>9</xdr:col>
      <xdr:colOff>571500</xdr:colOff>
      <xdr:row>23</xdr:row>
      <xdr:rowOff>27956</xdr:rowOff>
    </xdr:to>
    <xdr:pic>
      <xdr:nvPicPr>
        <xdr:cNvPr id="6" name="Picture 5">
          <a:extLst>
            <a:ext uri="{FF2B5EF4-FFF2-40B4-BE49-F238E27FC236}">
              <a16:creationId xmlns:a16="http://schemas.microsoft.com/office/drawing/2014/main" id="{EFF73F82-1891-E640-BA01-12FD9A4F8341}"/>
            </a:ext>
          </a:extLst>
        </xdr:cNvPr>
        <xdr:cNvPicPr>
          <a:picLocks noChangeAspect="1"/>
        </xdr:cNvPicPr>
      </xdr:nvPicPr>
      <xdr:blipFill>
        <a:blip xmlns:r="http://schemas.openxmlformats.org/officeDocument/2006/relationships" r:embed="rId7"/>
        <a:stretch>
          <a:fillRect/>
        </a:stretch>
      </xdr:blipFill>
      <xdr:spPr>
        <a:xfrm>
          <a:off x="5448300" y="3086100"/>
          <a:ext cx="1714500" cy="523256"/>
        </a:xfrm>
        <a:prstGeom prst="rect">
          <a:avLst/>
        </a:prstGeom>
      </xdr:spPr>
    </xdr:pic>
    <xdr:clientData/>
  </xdr:twoCellAnchor>
  <xdr:twoCellAnchor editAs="oneCell">
    <xdr:from>
      <xdr:col>2</xdr:col>
      <xdr:colOff>12700</xdr:colOff>
      <xdr:row>23</xdr:row>
      <xdr:rowOff>127000</xdr:rowOff>
    </xdr:from>
    <xdr:to>
      <xdr:col>3</xdr:col>
      <xdr:colOff>0</xdr:colOff>
      <xdr:row>26</xdr:row>
      <xdr:rowOff>114300</xdr:rowOff>
    </xdr:to>
    <xdr:pic>
      <xdr:nvPicPr>
        <xdr:cNvPr id="7" name="Picture 6">
          <a:extLst>
            <a:ext uri="{FF2B5EF4-FFF2-40B4-BE49-F238E27FC236}">
              <a16:creationId xmlns:a16="http://schemas.microsoft.com/office/drawing/2014/main" id="{1A8C8E28-1081-EE4B-BAE5-63DA0278F537}"/>
            </a:ext>
          </a:extLst>
        </xdr:cNvPr>
        <xdr:cNvPicPr>
          <a:picLocks noChangeAspect="1"/>
        </xdr:cNvPicPr>
      </xdr:nvPicPr>
      <xdr:blipFill>
        <a:blip xmlns:r="http://schemas.openxmlformats.org/officeDocument/2006/relationships" r:embed="rId8"/>
        <a:stretch>
          <a:fillRect/>
        </a:stretch>
      </xdr:blipFill>
      <xdr:spPr>
        <a:xfrm>
          <a:off x="914400" y="3708400"/>
          <a:ext cx="1435100" cy="444500"/>
        </a:xfrm>
        <a:prstGeom prst="rect">
          <a:avLst/>
        </a:prstGeom>
      </xdr:spPr>
    </xdr:pic>
    <xdr:clientData/>
  </xdr:twoCellAnchor>
  <xdr:twoCellAnchor editAs="oneCell">
    <xdr:from>
      <xdr:col>2</xdr:col>
      <xdr:colOff>25400</xdr:colOff>
      <xdr:row>129</xdr:row>
      <xdr:rowOff>25400</xdr:rowOff>
    </xdr:from>
    <xdr:to>
      <xdr:col>8</xdr:col>
      <xdr:colOff>228600</xdr:colOff>
      <xdr:row>131</xdr:row>
      <xdr:rowOff>82550</xdr:rowOff>
    </xdr:to>
    <xdr:pic>
      <xdr:nvPicPr>
        <xdr:cNvPr id="8" name="Picture 7">
          <a:extLst>
            <a:ext uri="{FF2B5EF4-FFF2-40B4-BE49-F238E27FC236}">
              <a16:creationId xmlns:a16="http://schemas.microsoft.com/office/drawing/2014/main" id="{ECA1D565-5534-BC49-A8BA-6A731307D1BD}"/>
            </a:ext>
          </a:extLst>
        </xdr:cNvPr>
        <xdr:cNvPicPr>
          <a:picLocks noChangeAspect="1"/>
        </xdr:cNvPicPr>
      </xdr:nvPicPr>
      <xdr:blipFill>
        <a:blip xmlns:r="http://schemas.openxmlformats.org/officeDocument/2006/relationships" r:embed="rId9"/>
        <a:stretch>
          <a:fillRect/>
        </a:stretch>
      </xdr:blipFill>
      <xdr:spPr>
        <a:xfrm>
          <a:off x="927100" y="19342100"/>
          <a:ext cx="5359400" cy="368300"/>
        </a:xfrm>
        <a:prstGeom prst="rect">
          <a:avLst/>
        </a:prstGeom>
      </xdr:spPr>
    </xdr:pic>
    <xdr:clientData/>
  </xdr:twoCellAnchor>
  <xdr:twoCellAnchor editAs="oneCell">
    <xdr:from>
      <xdr:col>2</xdr:col>
      <xdr:colOff>0</xdr:colOff>
      <xdr:row>134</xdr:row>
      <xdr:rowOff>38100</xdr:rowOff>
    </xdr:from>
    <xdr:to>
      <xdr:col>3</xdr:col>
      <xdr:colOff>114300</xdr:colOff>
      <xdr:row>137</xdr:row>
      <xdr:rowOff>0</xdr:rowOff>
    </xdr:to>
    <xdr:pic>
      <xdr:nvPicPr>
        <xdr:cNvPr id="9" name="Picture 8">
          <a:extLst>
            <a:ext uri="{FF2B5EF4-FFF2-40B4-BE49-F238E27FC236}">
              <a16:creationId xmlns:a16="http://schemas.microsoft.com/office/drawing/2014/main" id="{C302A27A-5D09-AF4A-8692-D41F4FEFCB39}"/>
            </a:ext>
          </a:extLst>
        </xdr:cNvPr>
        <xdr:cNvPicPr>
          <a:picLocks noChangeAspect="1"/>
        </xdr:cNvPicPr>
      </xdr:nvPicPr>
      <xdr:blipFill>
        <a:blip xmlns:r="http://schemas.openxmlformats.org/officeDocument/2006/relationships" r:embed="rId10"/>
        <a:stretch>
          <a:fillRect/>
        </a:stretch>
      </xdr:blipFill>
      <xdr:spPr>
        <a:xfrm>
          <a:off x="901700" y="20116800"/>
          <a:ext cx="1612900" cy="406400"/>
        </a:xfrm>
        <a:prstGeom prst="rect">
          <a:avLst/>
        </a:prstGeom>
      </xdr:spPr>
    </xdr:pic>
    <xdr:clientData/>
  </xdr:twoCellAnchor>
  <xdr:twoCellAnchor editAs="oneCell">
    <xdr:from>
      <xdr:col>5</xdr:col>
      <xdr:colOff>12700</xdr:colOff>
      <xdr:row>134</xdr:row>
      <xdr:rowOff>12700</xdr:rowOff>
    </xdr:from>
    <xdr:to>
      <xdr:col>7</xdr:col>
      <xdr:colOff>44450</xdr:colOff>
      <xdr:row>136</xdr:row>
      <xdr:rowOff>63500</xdr:rowOff>
    </xdr:to>
    <xdr:pic>
      <xdr:nvPicPr>
        <xdr:cNvPr id="10" name="Picture 9">
          <a:extLst>
            <a:ext uri="{FF2B5EF4-FFF2-40B4-BE49-F238E27FC236}">
              <a16:creationId xmlns:a16="http://schemas.microsoft.com/office/drawing/2014/main" id="{0818C03F-1993-1B4D-ADEF-199DCC64C0EA}"/>
            </a:ext>
          </a:extLst>
        </xdr:cNvPr>
        <xdr:cNvPicPr>
          <a:picLocks noChangeAspect="1"/>
        </xdr:cNvPicPr>
      </xdr:nvPicPr>
      <xdr:blipFill>
        <a:blip xmlns:r="http://schemas.openxmlformats.org/officeDocument/2006/relationships" r:embed="rId11"/>
        <a:stretch>
          <a:fillRect/>
        </a:stretch>
      </xdr:blipFill>
      <xdr:spPr>
        <a:xfrm>
          <a:off x="3810000" y="20091400"/>
          <a:ext cx="1498600" cy="355600"/>
        </a:xfrm>
        <a:prstGeom prst="rect">
          <a:avLst/>
        </a:prstGeom>
      </xdr:spPr>
    </xdr:pic>
    <xdr:clientData/>
  </xdr:twoCellAnchor>
  <xdr:twoCellAnchor>
    <xdr:from>
      <xdr:col>3</xdr:col>
      <xdr:colOff>330200</xdr:colOff>
      <xdr:row>134</xdr:row>
      <xdr:rowOff>101600</xdr:rowOff>
    </xdr:from>
    <xdr:to>
      <xdr:col>4</xdr:col>
      <xdr:colOff>546100</xdr:colOff>
      <xdr:row>136</xdr:row>
      <xdr:rowOff>25400</xdr:rowOff>
    </xdr:to>
    <xdr:sp macro="" textlink="">
      <xdr:nvSpPr>
        <xdr:cNvPr id="21" name="Right Arrow 20">
          <a:extLst>
            <a:ext uri="{FF2B5EF4-FFF2-40B4-BE49-F238E27FC236}">
              <a16:creationId xmlns:a16="http://schemas.microsoft.com/office/drawing/2014/main" id="{36131677-4A73-1347-96F5-CD2961CA426F}"/>
            </a:ext>
          </a:extLst>
        </xdr:cNvPr>
        <xdr:cNvSpPr/>
      </xdr:nvSpPr>
      <xdr:spPr>
        <a:xfrm>
          <a:off x="2730500" y="20180300"/>
          <a:ext cx="914400" cy="228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2</xdr:col>
      <xdr:colOff>12700</xdr:colOff>
      <xdr:row>216</xdr:row>
      <xdr:rowOff>25400</xdr:rowOff>
    </xdr:from>
    <xdr:to>
      <xdr:col>3</xdr:col>
      <xdr:colOff>425450</xdr:colOff>
      <xdr:row>219</xdr:row>
      <xdr:rowOff>123825</xdr:rowOff>
    </xdr:to>
    <xdr:pic>
      <xdr:nvPicPr>
        <xdr:cNvPr id="11" name="Picture 10">
          <a:extLst>
            <a:ext uri="{FF2B5EF4-FFF2-40B4-BE49-F238E27FC236}">
              <a16:creationId xmlns:a16="http://schemas.microsoft.com/office/drawing/2014/main" id="{B423900B-210E-C648-BFC2-934A84D2D851}"/>
            </a:ext>
          </a:extLst>
        </xdr:cNvPr>
        <xdr:cNvPicPr>
          <a:picLocks noChangeAspect="1"/>
        </xdr:cNvPicPr>
      </xdr:nvPicPr>
      <xdr:blipFill>
        <a:blip xmlns:r="http://schemas.openxmlformats.org/officeDocument/2006/relationships" r:embed="rId12"/>
        <a:stretch>
          <a:fillRect/>
        </a:stretch>
      </xdr:blipFill>
      <xdr:spPr>
        <a:xfrm>
          <a:off x="914400" y="28790900"/>
          <a:ext cx="1917700" cy="558800"/>
        </a:xfrm>
        <a:prstGeom prst="rect">
          <a:avLst/>
        </a:prstGeom>
      </xdr:spPr>
    </xdr:pic>
    <xdr:clientData/>
  </xdr:twoCellAnchor>
  <xdr:twoCellAnchor>
    <xdr:from>
      <xdr:col>6</xdr:col>
      <xdr:colOff>628650</xdr:colOff>
      <xdr:row>97</xdr:row>
      <xdr:rowOff>28575</xdr:rowOff>
    </xdr:from>
    <xdr:to>
      <xdr:col>16</xdr:col>
      <xdr:colOff>180975</xdr:colOff>
      <xdr:row>115</xdr:row>
      <xdr:rowOff>66675</xdr:rowOff>
    </xdr:to>
    <xdr:graphicFrame macro="">
      <xdr:nvGraphicFramePr>
        <xdr:cNvPr id="15" name="Chart 14">
          <a:extLst>
            <a:ext uri="{FF2B5EF4-FFF2-40B4-BE49-F238E27FC236}">
              <a16:creationId xmlns:a16="http://schemas.microsoft.com/office/drawing/2014/main" id="{E9671FA1-A127-7A43-997E-D46EE5EC6E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279"/>
  <sheetViews>
    <sheetView tabSelected="1" zoomScaleNormal="100" workbookViewId="0">
      <selection activeCell="B2" sqref="B2:B5"/>
    </sheetView>
  </sheetViews>
  <sheetFormatPr defaultColWidth="9.1796875" defaultRowHeight="11.5" x14ac:dyDescent="0.25"/>
  <cols>
    <col min="1" max="1" width="2.6328125" style="1" customWidth="1"/>
    <col min="2" max="2" width="9.1796875" style="1"/>
    <col min="3" max="3" width="19.6328125" style="1" customWidth="1"/>
    <col min="4" max="4" width="10.453125" style="1" customWidth="1"/>
    <col min="5" max="5" width="9.1796875" style="1" customWidth="1"/>
    <col min="6" max="6" width="10" style="1" bestFit="1" customWidth="1"/>
    <col min="7" max="7" width="9.1796875" style="1" customWidth="1"/>
    <col min="8" max="16384" width="9.1796875" style="1"/>
  </cols>
  <sheetData>
    <row r="2" spans="2:15" x14ac:dyDescent="0.25">
      <c r="B2" s="2"/>
    </row>
    <row r="3" spans="2:15" x14ac:dyDescent="0.25">
      <c r="B3" s="2"/>
    </row>
    <row r="4" spans="2:15" x14ac:dyDescent="0.25">
      <c r="B4" s="2"/>
    </row>
    <row r="6" spans="2:15" ht="12" customHeight="1" x14ac:dyDescent="0.25">
      <c r="B6" s="4" t="s">
        <v>0</v>
      </c>
      <c r="C6" s="31" t="s">
        <v>95</v>
      </c>
      <c r="D6" s="31"/>
      <c r="E6" s="31"/>
      <c r="F6" s="31"/>
      <c r="G6" s="31"/>
      <c r="H6" s="31"/>
      <c r="I6" s="31"/>
      <c r="J6" s="31"/>
      <c r="K6" s="31"/>
      <c r="L6" s="31"/>
      <c r="M6" s="31"/>
      <c r="N6" s="31"/>
      <c r="O6" s="31"/>
    </row>
    <row r="7" spans="2:15" x14ac:dyDescent="0.25">
      <c r="C7" s="31"/>
      <c r="D7" s="31"/>
      <c r="E7" s="31"/>
      <c r="F7" s="31"/>
      <c r="G7" s="31"/>
      <c r="H7" s="31"/>
      <c r="I7" s="31"/>
      <c r="J7" s="31"/>
      <c r="K7" s="31"/>
      <c r="L7" s="31"/>
      <c r="M7" s="31"/>
      <c r="N7" s="31"/>
      <c r="O7" s="31"/>
    </row>
    <row r="8" spans="2:15" x14ac:dyDescent="0.25">
      <c r="C8" s="31"/>
      <c r="D8" s="31"/>
      <c r="E8" s="31"/>
      <c r="F8" s="31"/>
      <c r="G8" s="31"/>
      <c r="H8" s="31"/>
      <c r="I8" s="31"/>
      <c r="J8" s="31"/>
      <c r="K8" s="31"/>
      <c r="L8" s="31"/>
      <c r="M8" s="31"/>
      <c r="N8" s="31"/>
      <c r="O8" s="31"/>
    </row>
    <row r="9" spans="2:15" x14ac:dyDescent="0.25">
      <c r="C9" s="31"/>
      <c r="D9" s="31"/>
      <c r="E9" s="31"/>
      <c r="F9" s="31"/>
      <c r="G9" s="31"/>
      <c r="H9" s="31"/>
      <c r="I9" s="31"/>
      <c r="J9" s="31"/>
      <c r="K9" s="31"/>
      <c r="L9" s="31"/>
      <c r="M9" s="31"/>
      <c r="N9" s="31"/>
      <c r="O9" s="31"/>
    </row>
    <row r="10" spans="2:15" x14ac:dyDescent="0.25">
      <c r="C10" s="31"/>
      <c r="D10" s="31"/>
      <c r="E10" s="31"/>
      <c r="F10" s="31"/>
      <c r="G10" s="31"/>
      <c r="H10" s="31"/>
      <c r="I10" s="31"/>
      <c r="J10" s="31"/>
      <c r="K10" s="31"/>
      <c r="L10" s="31"/>
      <c r="M10" s="31"/>
      <c r="N10" s="31"/>
      <c r="O10" s="31"/>
    </row>
    <row r="11" spans="2:15" x14ac:dyDescent="0.25">
      <c r="C11" s="5"/>
      <c r="D11" s="5"/>
      <c r="E11" s="5"/>
      <c r="F11" s="5"/>
      <c r="G11" s="5"/>
      <c r="H11" s="5"/>
      <c r="I11" s="5"/>
      <c r="J11" s="5"/>
      <c r="K11" s="5"/>
      <c r="L11" s="5"/>
      <c r="M11" s="5"/>
      <c r="N11" s="5"/>
      <c r="O11" s="5"/>
    </row>
    <row r="12" spans="2:15" x14ac:dyDescent="0.25">
      <c r="B12" s="4" t="s">
        <v>1</v>
      </c>
      <c r="C12" s="5" t="s">
        <v>93</v>
      </c>
      <c r="D12" s="20">
        <v>0.1</v>
      </c>
      <c r="E12" s="5"/>
      <c r="F12" s="5"/>
      <c r="G12" s="5"/>
      <c r="H12" s="5"/>
      <c r="I12" s="5"/>
      <c r="J12" s="5"/>
      <c r="K12" s="5"/>
      <c r="L12" s="5"/>
      <c r="M12" s="5"/>
      <c r="N12" s="5"/>
      <c r="O12" s="5"/>
    </row>
    <row r="13" spans="2:15" x14ac:dyDescent="0.25">
      <c r="C13" s="5" t="s">
        <v>59</v>
      </c>
      <c r="D13" s="20">
        <v>0.15</v>
      </c>
      <c r="E13" s="5"/>
      <c r="F13" s="5"/>
      <c r="G13" s="5"/>
      <c r="H13" s="5"/>
      <c r="I13" s="5"/>
      <c r="J13" s="5"/>
      <c r="K13" s="5"/>
      <c r="L13" s="5"/>
      <c r="M13" s="5"/>
      <c r="N13" s="5"/>
      <c r="O13" s="5"/>
    </row>
    <row r="14" spans="2:15" x14ac:dyDescent="0.25">
      <c r="B14" s="13"/>
      <c r="C14" s="5" t="s">
        <v>60</v>
      </c>
      <c r="D14" s="20">
        <v>0.01</v>
      </c>
      <c r="E14" s="5"/>
      <c r="F14" s="5"/>
      <c r="G14" s="5"/>
      <c r="H14" s="5"/>
      <c r="I14" s="5"/>
      <c r="J14" s="5"/>
      <c r="K14" s="5"/>
      <c r="L14" s="5"/>
      <c r="M14" s="5"/>
      <c r="N14" s="5"/>
      <c r="O14" s="5"/>
    </row>
    <row r="15" spans="2:15" x14ac:dyDescent="0.25">
      <c r="C15" s="5"/>
      <c r="D15" s="5"/>
      <c r="E15" s="5"/>
      <c r="F15" s="5"/>
      <c r="G15" s="5"/>
      <c r="H15" s="5"/>
      <c r="I15" s="5"/>
      <c r="J15" s="5"/>
      <c r="K15" s="5"/>
      <c r="L15" s="5"/>
      <c r="M15" s="5"/>
      <c r="N15" s="5"/>
      <c r="O15" s="5"/>
    </row>
    <row r="16" spans="2:15" x14ac:dyDescent="0.25">
      <c r="B16" s="4" t="s">
        <v>61</v>
      </c>
      <c r="C16" s="5" t="s">
        <v>62</v>
      </c>
      <c r="D16" s="20">
        <v>0.08</v>
      </c>
      <c r="E16" s="5"/>
      <c r="F16" s="5"/>
      <c r="G16" s="5"/>
      <c r="H16" s="5"/>
      <c r="I16" s="5"/>
      <c r="J16" s="5"/>
      <c r="K16" s="5"/>
      <c r="L16" s="5"/>
      <c r="M16" s="5"/>
      <c r="N16" s="5"/>
      <c r="O16" s="5"/>
    </row>
    <row r="17" spans="2:15" x14ac:dyDescent="0.25">
      <c r="C17" s="5"/>
      <c r="D17" s="5"/>
      <c r="E17" s="5"/>
      <c r="F17" s="21"/>
      <c r="G17" s="5"/>
      <c r="H17" s="5"/>
      <c r="I17" s="5"/>
      <c r="J17" s="5"/>
      <c r="K17" s="5"/>
      <c r="L17" s="5"/>
      <c r="M17" s="5"/>
      <c r="N17" s="5"/>
      <c r="O17" s="5"/>
    </row>
    <row r="18" spans="2:15" x14ac:dyDescent="0.25">
      <c r="C18" s="5" t="s">
        <v>63</v>
      </c>
      <c r="D18" s="21">
        <f>(D16-D14)/(D12-D14)</f>
        <v>0.77777777777777779</v>
      </c>
      <c r="E18" s="5"/>
      <c r="F18" s="5"/>
      <c r="G18" s="5"/>
      <c r="H18" s="5"/>
      <c r="I18" s="5"/>
      <c r="J18" s="5"/>
      <c r="K18" s="5"/>
      <c r="L18" s="5"/>
      <c r="M18" s="5"/>
      <c r="N18" s="5"/>
      <c r="O18" s="5"/>
    </row>
    <row r="19" spans="2:15" x14ac:dyDescent="0.25">
      <c r="C19" s="5" t="s">
        <v>64</v>
      </c>
      <c r="D19" s="21">
        <f>1-D18</f>
        <v>0.22222222222222221</v>
      </c>
      <c r="E19" s="5"/>
      <c r="F19" s="5"/>
      <c r="G19" s="5"/>
      <c r="H19" s="5"/>
      <c r="I19" s="5"/>
      <c r="J19" s="5"/>
      <c r="K19" s="5"/>
      <c r="L19" s="5"/>
      <c r="M19" s="5"/>
      <c r="N19" s="5"/>
      <c r="O19" s="5"/>
    </row>
    <row r="20" spans="2:15" x14ac:dyDescent="0.25">
      <c r="C20" s="5"/>
      <c r="D20" s="5"/>
      <c r="E20" s="5"/>
      <c r="F20" s="5"/>
      <c r="G20" s="5"/>
      <c r="H20" s="5"/>
      <c r="I20" s="5"/>
      <c r="J20" s="5"/>
      <c r="K20" s="5"/>
      <c r="L20" s="5"/>
      <c r="M20" s="5"/>
      <c r="N20" s="5"/>
      <c r="O20" s="5"/>
    </row>
    <row r="21" spans="2:15" x14ac:dyDescent="0.25">
      <c r="C21" s="5"/>
      <c r="D21" s="5"/>
      <c r="E21" s="5"/>
      <c r="F21" s="5"/>
      <c r="G21" s="5"/>
      <c r="H21" s="5"/>
      <c r="I21" s="5"/>
      <c r="J21" s="5"/>
      <c r="K21" s="5"/>
      <c r="L21" s="5"/>
      <c r="M21" s="5"/>
      <c r="N21" s="5"/>
      <c r="O21" s="5"/>
    </row>
    <row r="22" spans="2:15" x14ac:dyDescent="0.25">
      <c r="C22" s="5"/>
      <c r="D22" s="5"/>
      <c r="E22" s="5"/>
      <c r="F22" s="5"/>
      <c r="G22" s="5"/>
      <c r="H22" s="5"/>
      <c r="I22" s="5"/>
      <c r="J22" s="5"/>
      <c r="K22" s="5"/>
      <c r="L22" s="5"/>
      <c r="M22" s="5"/>
      <c r="N22" s="5"/>
      <c r="O22" s="5"/>
    </row>
    <row r="23" spans="2:15" x14ac:dyDescent="0.25">
      <c r="C23" s="5"/>
      <c r="D23" s="5"/>
      <c r="E23" s="5"/>
      <c r="F23" s="5"/>
      <c r="G23" s="5"/>
      <c r="H23" s="5"/>
      <c r="I23" s="5"/>
      <c r="J23" s="5"/>
      <c r="K23" s="5"/>
      <c r="L23" s="5"/>
      <c r="M23" s="5"/>
      <c r="N23" s="5"/>
      <c r="O23" s="5"/>
    </row>
    <row r="24" spans="2:15" x14ac:dyDescent="0.25">
      <c r="C24" s="5"/>
      <c r="D24" s="5"/>
      <c r="E24" s="5"/>
      <c r="F24" s="5"/>
      <c r="G24" s="5"/>
      <c r="H24" s="5"/>
      <c r="I24" s="5"/>
      <c r="J24" s="5"/>
      <c r="K24" s="5"/>
      <c r="L24" s="5"/>
      <c r="M24" s="5"/>
      <c r="N24" s="5"/>
      <c r="O24" s="5"/>
    </row>
    <row r="25" spans="2:15" x14ac:dyDescent="0.25">
      <c r="C25" s="26"/>
      <c r="D25" s="5"/>
      <c r="E25" s="5"/>
      <c r="F25" s="5"/>
      <c r="G25" s="5"/>
      <c r="H25" s="5"/>
      <c r="I25" s="5"/>
      <c r="J25" s="5"/>
      <c r="K25" s="5"/>
      <c r="L25" s="5"/>
      <c r="M25" s="5"/>
      <c r="N25" s="5"/>
      <c r="O25" s="5"/>
    </row>
    <row r="26" spans="2:15" x14ac:dyDescent="0.25">
      <c r="C26" s="5"/>
      <c r="D26" s="5"/>
      <c r="E26" s="5"/>
      <c r="F26" s="5"/>
      <c r="G26" s="5"/>
      <c r="H26" s="5"/>
      <c r="I26" s="5"/>
      <c r="J26" s="5"/>
      <c r="K26" s="5"/>
      <c r="L26" s="5"/>
      <c r="M26" s="5"/>
      <c r="N26" s="5"/>
      <c r="O26" s="5"/>
    </row>
    <row r="27" spans="2:15" x14ac:dyDescent="0.25">
      <c r="C27" s="5"/>
      <c r="D27" s="5"/>
      <c r="E27" s="5"/>
      <c r="F27" s="5"/>
      <c r="G27" s="5"/>
      <c r="H27" s="5"/>
      <c r="I27" s="5"/>
      <c r="J27" s="5"/>
      <c r="K27" s="5"/>
      <c r="L27" s="5"/>
      <c r="M27" s="5"/>
      <c r="N27" s="5"/>
      <c r="O27" s="5"/>
    </row>
    <row r="28" spans="2:15" x14ac:dyDescent="0.25">
      <c r="C28" s="5"/>
      <c r="D28" s="5"/>
      <c r="E28" s="5"/>
      <c r="F28" s="5"/>
      <c r="G28" s="5"/>
      <c r="H28" s="5"/>
      <c r="I28" s="5"/>
      <c r="J28" s="5"/>
      <c r="K28" s="5"/>
      <c r="L28" s="5"/>
      <c r="M28" s="5"/>
      <c r="N28" s="5"/>
      <c r="O28" s="5"/>
    </row>
    <row r="29" spans="2:15" x14ac:dyDescent="0.25">
      <c r="B29" s="4" t="s">
        <v>65</v>
      </c>
      <c r="C29" s="5" t="s">
        <v>66</v>
      </c>
      <c r="D29" s="22">
        <f>D13*D18</f>
        <v>0.11666666666666667</v>
      </c>
      <c r="E29" s="5"/>
      <c r="F29" s="5"/>
      <c r="G29" s="5"/>
      <c r="H29" s="5"/>
      <c r="I29" s="5"/>
      <c r="J29" s="5"/>
      <c r="K29" s="5"/>
      <c r="L29" s="5"/>
      <c r="M29" s="5"/>
      <c r="N29" s="5"/>
      <c r="O29" s="5"/>
    </row>
    <row r="30" spans="2:15" x14ac:dyDescent="0.25">
      <c r="C30" s="5"/>
      <c r="D30" s="5"/>
      <c r="E30" s="5"/>
      <c r="F30" s="5"/>
      <c r="G30" s="5"/>
      <c r="H30" s="5"/>
      <c r="I30" s="5"/>
      <c r="J30" s="5"/>
      <c r="K30" s="5"/>
      <c r="L30" s="5"/>
      <c r="M30" s="5"/>
      <c r="N30" s="5"/>
      <c r="O30" s="5"/>
    </row>
    <row r="31" spans="2:15" ht="12" customHeight="1" x14ac:dyDescent="0.25">
      <c r="B31" s="4" t="s">
        <v>67</v>
      </c>
      <c r="C31" s="32" t="s">
        <v>114</v>
      </c>
      <c r="D31" s="32"/>
      <c r="E31" s="32"/>
      <c r="F31" s="32"/>
      <c r="G31" s="32"/>
      <c r="H31" s="32"/>
      <c r="I31" s="5"/>
      <c r="J31" s="5"/>
      <c r="K31" s="5"/>
      <c r="L31" s="5"/>
      <c r="M31" s="5"/>
      <c r="N31" s="5"/>
      <c r="O31" s="5"/>
    </row>
    <row r="32" spans="2:15" x14ac:dyDescent="0.25">
      <c r="C32" s="32"/>
      <c r="D32" s="32"/>
      <c r="E32" s="32"/>
      <c r="F32" s="32"/>
      <c r="G32" s="32"/>
      <c r="H32" s="32"/>
      <c r="I32" s="5"/>
      <c r="J32" s="5"/>
      <c r="K32" s="5"/>
      <c r="L32" s="5"/>
      <c r="M32" s="5"/>
      <c r="N32" s="5"/>
      <c r="O32" s="5"/>
    </row>
    <row r="33" spans="2:15" x14ac:dyDescent="0.25">
      <c r="C33" s="32"/>
      <c r="D33" s="32"/>
      <c r="E33" s="32"/>
      <c r="F33" s="32"/>
      <c r="G33" s="32"/>
      <c r="H33" s="32"/>
      <c r="I33" s="5"/>
      <c r="J33" s="5"/>
      <c r="K33" s="5"/>
      <c r="L33" s="5"/>
      <c r="M33" s="5"/>
      <c r="N33" s="5"/>
      <c r="O33" s="5"/>
    </row>
    <row r="34" spans="2:15" x14ac:dyDescent="0.25">
      <c r="C34" s="5"/>
      <c r="D34" s="5"/>
      <c r="E34" s="5"/>
      <c r="F34" s="5"/>
      <c r="G34" s="5"/>
      <c r="H34" s="5"/>
      <c r="I34" s="5"/>
      <c r="J34" s="5"/>
      <c r="K34" s="5"/>
      <c r="L34" s="5"/>
      <c r="M34" s="5"/>
      <c r="N34" s="5"/>
      <c r="O34" s="5"/>
    </row>
    <row r="35" spans="2:15" x14ac:dyDescent="0.25">
      <c r="B35" s="4" t="s">
        <v>2</v>
      </c>
    </row>
    <row r="36" spans="2:15" ht="13.5" x14ac:dyDescent="0.35">
      <c r="B36" s="4" t="s">
        <v>17</v>
      </c>
      <c r="C36" s="1" t="s">
        <v>14</v>
      </c>
      <c r="D36" s="1" t="s">
        <v>13</v>
      </c>
    </row>
    <row r="37" spans="2:15" ht="13.5" x14ac:dyDescent="0.35">
      <c r="C37" s="6">
        <v>0.5</v>
      </c>
      <c r="D37" s="12">
        <v>100000</v>
      </c>
      <c r="F37" s="1" t="s">
        <v>15</v>
      </c>
      <c r="G37" s="12">
        <f>+SUMPRODUCT(C37:C38,D37:D38)</f>
        <v>325000</v>
      </c>
    </row>
    <row r="38" spans="2:15" x14ac:dyDescent="0.25">
      <c r="C38" s="6">
        <v>0.5</v>
      </c>
      <c r="D38" s="12">
        <v>550000</v>
      </c>
    </row>
    <row r="40" spans="2:15" x14ac:dyDescent="0.25">
      <c r="C40" s="1" t="s">
        <v>23</v>
      </c>
    </row>
    <row r="41" spans="2:15" ht="13.5" x14ac:dyDescent="0.35">
      <c r="C41" s="1" t="s">
        <v>16</v>
      </c>
    </row>
    <row r="42" spans="2:15" ht="13.5" x14ac:dyDescent="0.35">
      <c r="C42" s="1" t="s">
        <v>19</v>
      </c>
      <c r="D42" s="12">
        <f>+$G$37/(10%+4%+1)</f>
        <v>285087.71929824556</v>
      </c>
    </row>
    <row r="43" spans="2:15" x14ac:dyDescent="0.25">
      <c r="D43" s="12"/>
    </row>
    <row r="44" spans="2:15" ht="13.5" x14ac:dyDescent="0.35">
      <c r="B44" s="4" t="s">
        <v>18</v>
      </c>
      <c r="C44" s="1" t="s">
        <v>19</v>
      </c>
      <c r="D44" s="12">
        <f>+$D$42</f>
        <v>285087.71929824556</v>
      </c>
    </row>
    <row r="45" spans="2:15" ht="13.5" x14ac:dyDescent="0.35">
      <c r="C45" s="1" t="s">
        <v>15</v>
      </c>
      <c r="D45" s="12">
        <f>+G37</f>
        <v>325000</v>
      </c>
    </row>
    <row r="46" spans="2:15" x14ac:dyDescent="0.25">
      <c r="C46" s="1" t="s">
        <v>20</v>
      </c>
      <c r="D46" s="12"/>
    </row>
    <row r="47" spans="2:15" x14ac:dyDescent="0.25">
      <c r="C47" s="1" t="s">
        <v>21</v>
      </c>
      <c r="D47" s="7">
        <f>+D45/D44-1</f>
        <v>0.14000000000000012</v>
      </c>
    </row>
    <row r="48" spans="2:15" x14ac:dyDescent="0.25">
      <c r="D48" s="12"/>
    </row>
    <row r="49" spans="2:14" x14ac:dyDescent="0.25">
      <c r="B49" s="4" t="s">
        <v>22</v>
      </c>
      <c r="C49" s="1" t="s">
        <v>96</v>
      </c>
    </row>
    <row r="50" spans="2:14" ht="13.5" x14ac:dyDescent="0.35">
      <c r="C50" s="1" t="s">
        <v>16</v>
      </c>
    </row>
    <row r="51" spans="2:14" ht="13.5" x14ac:dyDescent="0.35">
      <c r="C51" s="1" t="s">
        <v>19</v>
      </c>
      <c r="D51" s="12">
        <f>+$G$37/(7%+4%+1)</f>
        <v>292792.79279279278</v>
      </c>
    </row>
    <row r="53" spans="2:14" x14ac:dyDescent="0.25">
      <c r="B53" s="4" t="s">
        <v>24</v>
      </c>
      <c r="C53" s="30" t="s">
        <v>91</v>
      </c>
      <c r="D53" s="30"/>
      <c r="E53" s="30"/>
      <c r="F53" s="30"/>
      <c r="G53" s="30"/>
      <c r="H53" s="30"/>
      <c r="I53" s="30"/>
      <c r="J53" s="30"/>
    </row>
    <row r="54" spans="2:14" x14ac:dyDescent="0.25">
      <c r="C54" s="30"/>
      <c r="D54" s="30"/>
      <c r="E54" s="30"/>
      <c r="F54" s="30"/>
      <c r="G54" s="30"/>
      <c r="H54" s="30"/>
      <c r="I54" s="30"/>
      <c r="J54" s="30"/>
    </row>
    <row r="56" spans="2:14" ht="13" customHeight="1" x14ac:dyDescent="0.25">
      <c r="B56" s="4" t="s">
        <v>3</v>
      </c>
      <c r="C56" s="32" t="s">
        <v>68</v>
      </c>
      <c r="D56" s="32"/>
      <c r="E56" s="32"/>
      <c r="F56" s="32"/>
      <c r="G56" s="32"/>
      <c r="H56" s="32"/>
      <c r="I56" s="32"/>
      <c r="J56" s="32"/>
      <c r="L56" s="32" t="s">
        <v>73</v>
      </c>
      <c r="M56" s="30" t="s">
        <v>74</v>
      </c>
      <c r="N56" s="32" t="s">
        <v>75</v>
      </c>
    </row>
    <row r="57" spans="2:14" x14ac:dyDescent="0.25">
      <c r="C57" s="32"/>
      <c r="D57" s="32"/>
      <c r="E57" s="32"/>
      <c r="F57" s="32"/>
      <c r="G57" s="32"/>
      <c r="H57" s="32"/>
      <c r="I57" s="32"/>
      <c r="J57" s="32"/>
      <c r="L57" s="32"/>
      <c r="M57" s="30"/>
      <c r="N57" s="32"/>
    </row>
    <row r="58" spans="2:14" x14ac:dyDescent="0.25">
      <c r="C58" s="32"/>
      <c r="D58" s="32"/>
      <c r="E58" s="32"/>
      <c r="F58" s="32"/>
      <c r="G58" s="32"/>
      <c r="H58" s="32"/>
      <c r="I58" s="32"/>
      <c r="J58" s="32"/>
      <c r="L58" s="1" t="s">
        <v>25</v>
      </c>
      <c r="M58" s="6">
        <v>0.1</v>
      </c>
      <c r="N58" s="6">
        <v>0.15</v>
      </c>
    </row>
    <row r="59" spans="2:14" x14ac:dyDescent="0.25">
      <c r="C59" s="32"/>
      <c r="D59" s="32"/>
      <c r="E59" s="32"/>
      <c r="F59" s="32"/>
      <c r="G59" s="32"/>
      <c r="H59" s="32"/>
      <c r="I59" s="32"/>
      <c r="J59" s="32"/>
      <c r="L59" s="1" t="s">
        <v>37</v>
      </c>
      <c r="M59" s="6">
        <v>0.03</v>
      </c>
      <c r="N59" s="6">
        <v>0.1</v>
      </c>
    </row>
    <row r="61" spans="2:14" x14ac:dyDescent="0.25">
      <c r="L61" s="1" t="s">
        <v>76</v>
      </c>
      <c r="M61" s="1">
        <v>-1</v>
      </c>
    </row>
    <row r="65" spans="2:7" x14ac:dyDescent="0.25">
      <c r="C65" s="1" t="s">
        <v>72</v>
      </c>
    </row>
    <row r="71" spans="2:7" x14ac:dyDescent="0.25">
      <c r="C71" s="1" t="s">
        <v>69</v>
      </c>
      <c r="D71" s="1" t="s">
        <v>70</v>
      </c>
      <c r="E71" s="19">
        <f>N59/(N58+N59)</f>
        <v>0.4</v>
      </c>
    </row>
    <row r="72" spans="2:7" x14ac:dyDescent="0.25">
      <c r="D72" s="1" t="s">
        <v>71</v>
      </c>
      <c r="E72" s="19">
        <f>1-E71</f>
        <v>0.6</v>
      </c>
    </row>
    <row r="73" spans="2:7" ht="13.5" customHeight="1" x14ac:dyDescent="0.25"/>
    <row r="74" spans="2:7" x14ac:dyDescent="0.25">
      <c r="C74" s="1" t="s">
        <v>77</v>
      </c>
      <c r="D74" s="29">
        <f>E71*M58+E72*M59</f>
        <v>5.800000000000001E-2</v>
      </c>
    </row>
    <row r="75" spans="2:7" x14ac:dyDescent="0.25">
      <c r="D75" s="29"/>
    </row>
    <row r="76" spans="2:7" x14ac:dyDescent="0.25">
      <c r="C76" s="1" t="s">
        <v>78</v>
      </c>
      <c r="D76" s="29">
        <f>D74</f>
        <v>5.800000000000001E-2</v>
      </c>
    </row>
    <row r="77" spans="2:7" x14ac:dyDescent="0.25">
      <c r="D77" s="16"/>
    </row>
    <row r="79" spans="2:7" ht="13.5" x14ac:dyDescent="0.35">
      <c r="B79" s="4" t="s">
        <v>4</v>
      </c>
      <c r="C79" s="1" t="s">
        <v>29</v>
      </c>
      <c r="D79" s="6">
        <v>0.15</v>
      </c>
      <c r="F79" s="1" t="s">
        <v>31</v>
      </c>
      <c r="G79" s="7">
        <f>0.6*D79+0.4*D81</f>
        <v>9.8000000000000004E-2</v>
      </c>
    </row>
    <row r="80" spans="2:7" ht="13.5" x14ac:dyDescent="0.35">
      <c r="C80" s="1" t="s">
        <v>30</v>
      </c>
      <c r="D80" s="6">
        <v>0.32</v>
      </c>
      <c r="F80" s="1" t="s">
        <v>32</v>
      </c>
      <c r="G80" s="7">
        <f>+SQRT((0.6^2)*(D80)^2)</f>
        <v>0.192</v>
      </c>
    </row>
    <row r="81" spans="2:10" ht="13.5" x14ac:dyDescent="0.35">
      <c r="C81" s="1" t="s">
        <v>26</v>
      </c>
      <c r="D81" s="6">
        <v>0.02</v>
      </c>
    </row>
    <row r="83" spans="2:10" x14ac:dyDescent="0.25">
      <c r="B83" s="4" t="s">
        <v>5</v>
      </c>
      <c r="C83" s="13" t="s">
        <v>39</v>
      </c>
      <c r="F83" s="13" t="s">
        <v>40</v>
      </c>
    </row>
    <row r="84" spans="2:10" x14ac:dyDescent="0.25">
      <c r="C84" s="1" t="s">
        <v>33</v>
      </c>
      <c r="D84" s="7">
        <f>0.6*G84</f>
        <v>0.18</v>
      </c>
      <c r="F84" s="1" t="s">
        <v>25</v>
      </c>
      <c r="G84" s="7">
        <v>0.3</v>
      </c>
    </row>
    <row r="85" spans="2:10" x14ac:dyDescent="0.25">
      <c r="B85" s="4"/>
      <c r="C85" s="1" t="s">
        <v>34</v>
      </c>
      <c r="D85" s="7">
        <f>0.6*G85</f>
        <v>0.09</v>
      </c>
      <c r="F85" s="1" t="s">
        <v>37</v>
      </c>
      <c r="G85" s="7">
        <v>0.15</v>
      </c>
    </row>
    <row r="86" spans="2:10" x14ac:dyDescent="0.25">
      <c r="C86" s="1" t="s">
        <v>35</v>
      </c>
      <c r="D86" s="7">
        <f>0.6*G86</f>
        <v>0.33</v>
      </c>
      <c r="F86" s="8" t="s">
        <v>38</v>
      </c>
      <c r="G86" s="9">
        <v>0.55000000000000004</v>
      </c>
    </row>
    <row r="87" spans="2:10" x14ac:dyDescent="0.25">
      <c r="C87" s="8" t="s">
        <v>36</v>
      </c>
      <c r="D87" s="9">
        <v>0.4</v>
      </c>
      <c r="G87" s="7">
        <f>+SUM(G84:G86)</f>
        <v>1</v>
      </c>
    </row>
    <row r="88" spans="2:10" x14ac:dyDescent="0.25">
      <c r="D88" s="7">
        <f>+SUM(D84:D87)</f>
        <v>1</v>
      </c>
    </row>
    <row r="90" spans="2:10" ht="13.5" x14ac:dyDescent="0.35">
      <c r="B90" s="4" t="s">
        <v>6</v>
      </c>
      <c r="C90" s="1" t="s">
        <v>41</v>
      </c>
      <c r="D90" s="17">
        <f>+(D79-D81)/D80</f>
        <v>0.40625</v>
      </c>
    </row>
    <row r="91" spans="2:10" ht="13.5" x14ac:dyDescent="0.35">
      <c r="C91" s="1" t="s">
        <v>42</v>
      </c>
      <c r="D91" s="17">
        <f>+(G79-D81)/G80</f>
        <v>0.40625</v>
      </c>
    </row>
    <row r="92" spans="2:10" ht="11.5" customHeight="1" x14ac:dyDescent="0.25">
      <c r="B92" s="4"/>
      <c r="D92" s="1" t="b">
        <f>+D91=D90</f>
        <v>1</v>
      </c>
      <c r="E92" s="30" t="s">
        <v>116</v>
      </c>
      <c r="F92" s="30"/>
      <c r="G92" s="30"/>
      <c r="H92" s="30"/>
      <c r="I92" s="30"/>
      <c r="J92" s="30"/>
    </row>
    <row r="93" spans="2:10" x14ac:dyDescent="0.25">
      <c r="E93" s="30"/>
      <c r="F93" s="30"/>
      <c r="G93" s="30"/>
      <c r="H93" s="30"/>
      <c r="I93" s="30"/>
      <c r="J93" s="30"/>
    </row>
    <row r="94" spans="2:10" x14ac:dyDescent="0.25">
      <c r="E94" s="30"/>
      <c r="F94" s="30"/>
      <c r="G94" s="30"/>
      <c r="H94" s="30"/>
      <c r="I94" s="30"/>
      <c r="J94" s="30"/>
    </row>
    <row r="97" spans="2:6" ht="13.5" x14ac:dyDescent="0.25">
      <c r="B97" s="4" t="s">
        <v>7</v>
      </c>
      <c r="C97" s="18" t="s">
        <v>27</v>
      </c>
      <c r="D97" s="18" t="s">
        <v>43</v>
      </c>
      <c r="E97" s="10" t="s">
        <v>44</v>
      </c>
      <c r="F97" s="10" t="s">
        <v>45</v>
      </c>
    </row>
    <row r="98" spans="2:6" x14ac:dyDescent="0.25">
      <c r="C98" s="7">
        <v>1</v>
      </c>
      <c r="D98" s="7">
        <f t="shared" ref="D98:D113" si="0">100%-C98</f>
        <v>0</v>
      </c>
      <c r="E98" s="7">
        <f>+C98*$D$81+D98*$D$79</f>
        <v>0.02</v>
      </c>
      <c r="F98" s="14">
        <f>+SQRT((D98^2)*($D$80^2))</f>
        <v>0</v>
      </c>
    </row>
    <row r="99" spans="2:6" x14ac:dyDescent="0.25">
      <c r="C99" s="15">
        <f>+C98-10%</f>
        <v>0.9</v>
      </c>
      <c r="D99" s="7">
        <f t="shared" si="0"/>
        <v>9.9999999999999978E-2</v>
      </c>
      <c r="E99" s="7">
        <f t="shared" ref="E99:E113" si="1">+C99*$D$81+D99*$D$79</f>
        <v>3.3000000000000002E-2</v>
      </c>
      <c r="F99" s="14">
        <f t="shared" ref="F99:F113" si="2">+SQRT((D99^2)*($D$80^2))</f>
        <v>3.1999999999999994E-2</v>
      </c>
    </row>
    <row r="100" spans="2:6" x14ac:dyDescent="0.25">
      <c r="C100" s="15">
        <f t="shared" ref="C100:C113" si="3">+C99-10%</f>
        <v>0.8</v>
      </c>
      <c r="D100" s="7">
        <f t="shared" si="0"/>
        <v>0.19999999999999996</v>
      </c>
      <c r="E100" s="7">
        <f t="shared" si="1"/>
        <v>4.5999999999999992E-2</v>
      </c>
      <c r="F100" s="14">
        <f t="shared" si="2"/>
        <v>6.3999999999999987E-2</v>
      </c>
    </row>
    <row r="101" spans="2:6" x14ac:dyDescent="0.25">
      <c r="C101" s="15">
        <f t="shared" si="3"/>
        <v>0.70000000000000007</v>
      </c>
      <c r="D101" s="7">
        <f t="shared" si="0"/>
        <v>0.29999999999999993</v>
      </c>
      <c r="E101" s="7">
        <f t="shared" si="1"/>
        <v>5.8999999999999997E-2</v>
      </c>
      <c r="F101" s="14">
        <f t="shared" si="2"/>
        <v>9.5999999999999974E-2</v>
      </c>
    </row>
    <row r="102" spans="2:6" x14ac:dyDescent="0.25">
      <c r="C102" s="15">
        <f t="shared" si="3"/>
        <v>0.60000000000000009</v>
      </c>
      <c r="D102" s="7">
        <f t="shared" si="0"/>
        <v>0.39999999999999991</v>
      </c>
      <c r="E102" s="7">
        <f t="shared" si="1"/>
        <v>7.1999999999999981E-2</v>
      </c>
      <c r="F102" s="14">
        <f t="shared" si="2"/>
        <v>0.12799999999999997</v>
      </c>
    </row>
    <row r="103" spans="2:6" x14ac:dyDescent="0.25">
      <c r="C103" s="15">
        <f t="shared" si="3"/>
        <v>0.50000000000000011</v>
      </c>
      <c r="D103" s="7">
        <f t="shared" si="0"/>
        <v>0.49999999999999989</v>
      </c>
      <c r="E103" s="7">
        <f t="shared" si="1"/>
        <v>8.4999999999999992E-2</v>
      </c>
      <c r="F103" s="14">
        <f t="shared" si="2"/>
        <v>0.15999999999999998</v>
      </c>
    </row>
    <row r="104" spans="2:6" x14ac:dyDescent="0.25">
      <c r="C104" s="15">
        <f t="shared" si="3"/>
        <v>0.40000000000000013</v>
      </c>
      <c r="D104" s="7">
        <f t="shared" si="0"/>
        <v>0.59999999999999987</v>
      </c>
      <c r="E104" s="7">
        <f t="shared" si="1"/>
        <v>9.799999999999999E-2</v>
      </c>
      <c r="F104" s="14">
        <f t="shared" si="2"/>
        <v>0.19199999999999995</v>
      </c>
    </row>
    <row r="105" spans="2:6" x14ac:dyDescent="0.25">
      <c r="C105" s="15">
        <f t="shared" si="3"/>
        <v>0.30000000000000016</v>
      </c>
      <c r="D105" s="7">
        <f t="shared" si="0"/>
        <v>0.69999999999999984</v>
      </c>
      <c r="E105" s="7">
        <f t="shared" si="1"/>
        <v>0.11099999999999997</v>
      </c>
      <c r="F105" s="14">
        <f t="shared" si="2"/>
        <v>0.22399999999999995</v>
      </c>
    </row>
    <row r="106" spans="2:6" x14ac:dyDescent="0.25">
      <c r="C106" s="15">
        <f t="shared" si="3"/>
        <v>0.20000000000000015</v>
      </c>
      <c r="D106" s="7">
        <f t="shared" si="0"/>
        <v>0.79999999999999982</v>
      </c>
      <c r="E106" s="7">
        <f t="shared" si="1"/>
        <v>0.12399999999999997</v>
      </c>
      <c r="F106" s="14">
        <f t="shared" si="2"/>
        <v>0.25599999999999995</v>
      </c>
    </row>
    <row r="107" spans="2:6" x14ac:dyDescent="0.25">
      <c r="C107" s="15">
        <f t="shared" si="3"/>
        <v>0.10000000000000014</v>
      </c>
      <c r="D107" s="7">
        <f t="shared" si="0"/>
        <v>0.89999999999999991</v>
      </c>
      <c r="E107" s="7">
        <f t="shared" si="1"/>
        <v>0.13699999999999998</v>
      </c>
      <c r="F107" s="14">
        <f t="shared" si="2"/>
        <v>0.28799999999999998</v>
      </c>
    </row>
    <row r="108" spans="2:6" x14ac:dyDescent="0.25">
      <c r="C108" s="15">
        <f t="shared" si="3"/>
        <v>1.3877787807814457E-16</v>
      </c>
      <c r="D108" s="7">
        <f t="shared" si="0"/>
        <v>0.99999999999999989</v>
      </c>
      <c r="E108" s="7">
        <f t="shared" si="1"/>
        <v>0.14999999999999997</v>
      </c>
      <c r="F108" s="14">
        <f t="shared" si="2"/>
        <v>0.31999999999999995</v>
      </c>
    </row>
    <row r="109" spans="2:6" x14ac:dyDescent="0.25">
      <c r="C109" s="15">
        <f t="shared" si="3"/>
        <v>-9.9999999999999867E-2</v>
      </c>
      <c r="D109" s="7">
        <f t="shared" si="0"/>
        <v>1.0999999999999999</v>
      </c>
      <c r="E109" s="7">
        <f t="shared" si="1"/>
        <v>0.16299999999999998</v>
      </c>
      <c r="F109" s="14">
        <f t="shared" si="2"/>
        <v>0.35199999999999998</v>
      </c>
    </row>
    <row r="110" spans="2:6" x14ac:dyDescent="0.25">
      <c r="C110" s="15">
        <f t="shared" si="3"/>
        <v>-0.19999999999999987</v>
      </c>
      <c r="D110" s="7">
        <f t="shared" si="0"/>
        <v>1.2</v>
      </c>
      <c r="E110" s="7">
        <f t="shared" si="1"/>
        <v>0.17599999999999999</v>
      </c>
      <c r="F110" s="14">
        <f t="shared" si="2"/>
        <v>0.38400000000000001</v>
      </c>
    </row>
    <row r="111" spans="2:6" x14ac:dyDescent="0.25">
      <c r="C111" s="15">
        <f t="shared" si="3"/>
        <v>-0.29999999999999988</v>
      </c>
      <c r="D111" s="7">
        <f t="shared" si="0"/>
        <v>1.2999999999999998</v>
      </c>
      <c r="E111" s="7">
        <f t="shared" si="1"/>
        <v>0.18899999999999997</v>
      </c>
      <c r="F111" s="14">
        <f t="shared" si="2"/>
        <v>0.41599999999999993</v>
      </c>
    </row>
    <row r="112" spans="2:6" x14ac:dyDescent="0.25">
      <c r="C112" s="15">
        <f t="shared" si="3"/>
        <v>-0.39999999999999991</v>
      </c>
      <c r="D112" s="7">
        <f t="shared" si="0"/>
        <v>1.4</v>
      </c>
      <c r="E112" s="7">
        <f t="shared" si="1"/>
        <v>0.20199999999999999</v>
      </c>
      <c r="F112" s="14">
        <f t="shared" si="2"/>
        <v>0.44800000000000001</v>
      </c>
    </row>
    <row r="113" spans="2:6" x14ac:dyDescent="0.25">
      <c r="C113" s="15">
        <f t="shared" si="3"/>
        <v>-0.49999999999999989</v>
      </c>
      <c r="D113" s="7">
        <f t="shared" si="0"/>
        <v>1.5</v>
      </c>
      <c r="E113" s="7">
        <f t="shared" si="1"/>
        <v>0.21499999999999997</v>
      </c>
      <c r="F113" s="14">
        <f t="shared" si="2"/>
        <v>0.48000000000000004</v>
      </c>
    </row>
    <row r="115" spans="2:6" x14ac:dyDescent="0.25">
      <c r="B115" s="4" t="s">
        <v>8</v>
      </c>
    </row>
    <row r="117" spans="2:6" ht="13.5" x14ac:dyDescent="0.35">
      <c r="B117" s="4" t="s">
        <v>79</v>
      </c>
      <c r="C117" s="3" t="s">
        <v>46</v>
      </c>
    </row>
    <row r="118" spans="2:6" x14ac:dyDescent="0.25">
      <c r="C118" s="1" t="s">
        <v>115</v>
      </c>
    </row>
    <row r="119" spans="2:6" x14ac:dyDescent="0.25">
      <c r="C119" s="1" t="s">
        <v>47</v>
      </c>
      <c r="D119" s="11">
        <f>+(0.12-$D$81)/($D$79-$D$81)</f>
        <v>0.76923076923076916</v>
      </c>
      <c r="F119" s="7"/>
    </row>
    <row r="121" spans="2:6" x14ac:dyDescent="0.25">
      <c r="B121" s="4" t="s">
        <v>80</v>
      </c>
      <c r="C121" s="1" t="s">
        <v>33</v>
      </c>
      <c r="D121" s="7">
        <f>+G84*$D$119</f>
        <v>0.23076923076923073</v>
      </c>
    </row>
    <row r="122" spans="2:6" x14ac:dyDescent="0.25">
      <c r="C122" s="1" t="s">
        <v>34</v>
      </c>
      <c r="D122" s="7">
        <f>+G85*$D$119</f>
        <v>0.11538461538461536</v>
      </c>
    </row>
    <row r="123" spans="2:6" x14ac:dyDescent="0.25">
      <c r="C123" s="1" t="s">
        <v>35</v>
      </c>
      <c r="D123" s="7">
        <f>+G86*$D$119</f>
        <v>0.42307692307692307</v>
      </c>
    </row>
    <row r="124" spans="2:6" x14ac:dyDescent="0.25">
      <c r="C124" s="8" t="s">
        <v>36</v>
      </c>
      <c r="D124" s="9">
        <f>1-SUM(D121:D123)</f>
        <v>0.23076923076923084</v>
      </c>
    </row>
    <row r="125" spans="2:6" x14ac:dyDescent="0.25">
      <c r="B125" s="4"/>
      <c r="D125" s="7">
        <f>+SUM(D121:D124)</f>
        <v>1</v>
      </c>
    </row>
    <row r="127" spans="2:6" ht="13.5" x14ac:dyDescent="0.35">
      <c r="B127" s="4" t="s">
        <v>81</v>
      </c>
      <c r="C127" s="1" t="s">
        <v>32</v>
      </c>
      <c r="D127" s="7">
        <f>+SQRT((D119^2)*(D80^2))</f>
        <v>0.24615384615384614</v>
      </c>
    </row>
    <row r="129" spans="2:4" x14ac:dyDescent="0.25">
      <c r="B129" s="4" t="s">
        <v>9</v>
      </c>
    </row>
    <row r="130" spans="2:4" x14ac:dyDescent="0.25">
      <c r="B130" s="13" t="s">
        <v>82</v>
      </c>
    </row>
    <row r="132" spans="2:4" x14ac:dyDescent="0.25">
      <c r="D132" s="7"/>
    </row>
    <row r="133" spans="2:4" x14ac:dyDescent="0.25">
      <c r="C133" s="1" t="s">
        <v>94</v>
      </c>
      <c r="D133" s="7"/>
    </row>
    <row r="134" spans="2:4" x14ac:dyDescent="0.25">
      <c r="D134" s="7"/>
    </row>
    <row r="135" spans="2:4" x14ac:dyDescent="0.25">
      <c r="D135" s="7"/>
    </row>
    <row r="136" spans="2:4" x14ac:dyDescent="0.25">
      <c r="D136" s="7"/>
    </row>
    <row r="137" spans="2:4" x14ac:dyDescent="0.25">
      <c r="D137" s="7"/>
    </row>
    <row r="138" spans="2:4" x14ac:dyDescent="0.25">
      <c r="D138" s="7"/>
    </row>
    <row r="139" spans="2:4" x14ac:dyDescent="0.25">
      <c r="D139" s="7"/>
    </row>
    <row r="140" spans="2:4" x14ac:dyDescent="0.25">
      <c r="C140" s="1" t="s">
        <v>92</v>
      </c>
    </row>
    <row r="141" spans="2:4" x14ac:dyDescent="0.25">
      <c r="C141" s="1" t="s">
        <v>47</v>
      </c>
      <c r="D141" s="7">
        <f>0.2/$D$80</f>
        <v>0.625</v>
      </c>
    </row>
    <row r="143" spans="2:4" ht="13.5" x14ac:dyDescent="0.35">
      <c r="B143" s="13" t="s">
        <v>83</v>
      </c>
      <c r="C143" s="1" t="s">
        <v>31</v>
      </c>
      <c r="D143" s="7">
        <f>D141*D79+(1-D141)*D81</f>
        <v>0.10125000000000001</v>
      </c>
    </row>
    <row r="144" spans="2:4" ht="13.5" x14ac:dyDescent="0.35">
      <c r="C144" s="1" t="s">
        <v>32</v>
      </c>
      <c r="D144" s="7">
        <f>+SQRT((D141^2)*($D$80)^2)</f>
        <v>0.2</v>
      </c>
    </row>
    <row r="146" spans="2:6" x14ac:dyDescent="0.25">
      <c r="B146" s="4" t="s">
        <v>10</v>
      </c>
      <c r="C146" s="1" t="s">
        <v>28</v>
      </c>
      <c r="D146" s="1">
        <v>1.5</v>
      </c>
    </row>
    <row r="147" spans="2:6" x14ac:dyDescent="0.25">
      <c r="B147" s="4" t="s">
        <v>84</v>
      </c>
      <c r="C147" s="1" t="s">
        <v>48</v>
      </c>
      <c r="D147" s="7">
        <f>+(($D$79-$D$81)/($D$146*($D$80^2)))</f>
        <v>0.84635416666666663</v>
      </c>
    </row>
    <row r="149" spans="2:6" ht="13.5" x14ac:dyDescent="0.35">
      <c r="B149" s="13" t="s">
        <v>85</v>
      </c>
      <c r="C149" s="1" t="s">
        <v>31</v>
      </c>
      <c r="D149" s="11">
        <f>+D147*D79+(1-D147)*D81</f>
        <v>0.13002604166666668</v>
      </c>
    </row>
    <row r="150" spans="2:6" ht="13.5" x14ac:dyDescent="0.35">
      <c r="C150" s="1" t="s">
        <v>32</v>
      </c>
      <c r="D150" s="7">
        <f>+SQRT((D147^2)*($D$80)^2)</f>
        <v>0.27083333333333331</v>
      </c>
    </row>
    <row r="151" spans="2:6" x14ac:dyDescent="0.25">
      <c r="D151" s="7"/>
    </row>
    <row r="152" spans="2:6" x14ac:dyDescent="0.25">
      <c r="B152" s="13" t="s">
        <v>97</v>
      </c>
      <c r="C152" s="1" t="s">
        <v>28</v>
      </c>
      <c r="D152" s="1">
        <v>3</v>
      </c>
    </row>
    <row r="153" spans="2:6" x14ac:dyDescent="0.25">
      <c r="C153" s="1" t="s">
        <v>48</v>
      </c>
      <c r="D153" s="7">
        <f>+(($D$79-$D$81)/($D$152*($D$80^2)))</f>
        <v>0.42317708333333331</v>
      </c>
    </row>
    <row r="155" spans="2:6" ht="13.5" x14ac:dyDescent="0.35">
      <c r="C155" s="1" t="s">
        <v>31</v>
      </c>
      <c r="D155" s="11">
        <f>+D81+D153*(D79-D81)</f>
        <v>7.5013020833333333E-2</v>
      </c>
    </row>
    <row r="156" spans="2:6" ht="13.5" x14ac:dyDescent="0.35">
      <c r="C156" s="1" t="s">
        <v>32</v>
      </c>
      <c r="D156" s="7">
        <f>+SQRT((D153^2)*($D$80)^2)</f>
        <v>0.13541666666666666</v>
      </c>
    </row>
    <row r="157" spans="2:6" x14ac:dyDescent="0.25">
      <c r="D157" s="7"/>
    </row>
    <row r="158" spans="2:6" x14ac:dyDescent="0.25">
      <c r="B158" s="4" t="s">
        <v>11</v>
      </c>
      <c r="D158" s="7" t="s">
        <v>86</v>
      </c>
      <c r="E158" s="1" t="s">
        <v>87</v>
      </c>
      <c r="F158" s="1" t="s">
        <v>106</v>
      </c>
    </row>
    <row r="159" spans="2:6" x14ac:dyDescent="0.25">
      <c r="C159" s="1" t="s">
        <v>102</v>
      </c>
      <c r="D159" s="7">
        <v>0.08</v>
      </c>
      <c r="E159" s="6">
        <v>0.14000000000000001</v>
      </c>
      <c r="F159" s="7">
        <f>D159-D161</f>
        <v>0.05</v>
      </c>
    </row>
    <row r="160" spans="2:6" x14ac:dyDescent="0.25">
      <c r="C160" s="1" t="s">
        <v>103</v>
      </c>
      <c r="D160" s="7">
        <v>0.12</v>
      </c>
      <c r="E160" s="6">
        <v>0.22</v>
      </c>
      <c r="F160" s="7">
        <f>D160-D161</f>
        <v>0.09</v>
      </c>
    </row>
    <row r="161" spans="2:4" ht="12" customHeight="1" x14ac:dyDescent="0.25">
      <c r="C161" s="1" t="s">
        <v>104</v>
      </c>
      <c r="D161" s="7">
        <v>0.03</v>
      </c>
    </row>
    <row r="162" spans="2:4" ht="13" customHeight="1" x14ac:dyDescent="0.25">
      <c r="C162" s="1" t="s">
        <v>105</v>
      </c>
      <c r="D162" s="23">
        <v>-0.2</v>
      </c>
    </row>
    <row r="163" spans="2:4" x14ac:dyDescent="0.25">
      <c r="C163" s="1" t="s">
        <v>107</v>
      </c>
      <c r="D163" s="28">
        <f>D162*E160*E159</f>
        <v>-6.1600000000000014E-3</v>
      </c>
    </row>
    <row r="164" spans="2:4" x14ac:dyDescent="0.25">
      <c r="D164" s="7"/>
    </row>
    <row r="165" spans="2:4" x14ac:dyDescent="0.25">
      <c r="B165" s="4" t="s">
        <v>89</v>
      </c>
      <c r="C165" s="1" t="s">
        <v>108</v>
      </c>
      <c r="D165" s="7">
        <f>(F159*E160^2-F160*D163)/(F159*E160^2+F160*E159^2-(F159+F160)*D163)</f>
        <v>0.58941027266962587</v>
      </c>
    </row>
    <row r="166" spans="2:4" x14ac:dyDescent="0.25">
      <c r="C166" s="1" t="s">
        <v>109</v>
      </c>
      <c r="D166" s="7">
        <f>1-D165</f>
        <v>0.41058972733037413</v>
      </c>
    </row>
    <row r="167" spans="2:4" x14ac:dyDescent="0.25">
      <c r="D167" s="7"/>
    </row>
    <row r="168" spans="2:4" x14ac:dyDescent="0.25">
      <c r="C168" s="1" t="s">
        <v>88</v>
      </c>
      <c r="D168" s="7">
        <f>D165*D159+D166*D160</f>
        <v>9.6423589093214968E-2</v>
      </c>
    </row>
    <row r="169" spans="2:4" x14ac:dyDescent="0.25">
      <c r="C169" s="1" t="s">
        <v>110</v>
      </c>
      <c r="D169" s="7">
        <f>SQRT(D165^2*E159^2+D166^2*E160^2+2*D165*D166*D163)</f>
        <v>0.1094855152009532</v>
      </c>
    </row>
    <row r="170" spans="2:4" x14ac:dyDescent="0.25">
      <c r="D170" s="7"/>
    </row>
    <row r="171" spans="2:4" x14ac:dyDescent="0.25">
      <c r="C171" s="1" t="s">
        <v>111</v>
      </c>
      <c r="D171" s="24">
        <f>(D168-D161)/D169</f>
        <v>0.606688373081124</v>
      </c>
    </row>
    <row r="172" spans="2:4" x14ac:dyDescent="0.25">
      <c r="D172" s="23"/>
    </row>
    <row r="173" spans="2:4" x14ac:dyDescent="0.25">
      <c r="B173" s="4" t="s">
        <v>90</v>
      </c>
      <c r="C173" s="1" t="s">
        <v>112</v>
      </c>
      <c r="D173" s="7">
        <v>0.7</v>
      </c>
    </row>
    <row r="174" spans="2:4" x14ac:dyDescent="0.25">
      <c r="D174" s="7"/>
    </row>
    <row r="175" spans="2:4" x14ac:dyDescent="0.25">
      <c r="C175" s="1" t="s">
        <v>25</v>
      </c>
      <c r="D175" s="27">
        <f>(D168-D161)/(D173*D169^2)</f>
        <v>7.9160944188773517</v>
      </c>
    </row>
    <row r="176" spans="2:4" x14ac:dyDescent="0.25">
      <c r="D176" s="7"/>
    </row>
    <row r="177" spans="2:6" ht="13.5" x14ac:dyDescent="0.35">
      <c r="B177" s="4" t="s">
        <v>12</v>
      </c>
      <c r="C177" s="1" t="s">
        <v>50</v>
      </c>
      <c r="D177" s="6">
        <v>0.12</v>
      </c>
    </row>
    <row r="178" spans="2:6" ht="13.5" x14ac:dyDescent="0.35">
      <c r="C178" s="1" t="s">
        <v>51</v>
      </c>
      <c r="D178" s="6">
        <v>0.02</v>
      </c>
    </row>
    <row r="179" spans="2:6" ht="13.5" x14ac:dyDescent="0.35">
      <c r="C179" s="1" t="s">
        <v>49</v>
      </c>
      <c r="D179" s="6">
        <v>0.18</v>
      </c>
    </row>
    <row r="180" spans="2:6" ht="13.5" x14ac:dyDescent="0.35">
      <c r="C180" s="1" t="s">
        <v>56</v>
      </c>
      <c r="D180" s="6">
        <v>0.1</v>
      </c>
    </row>
    <row r="182" spans="2:6" x14ac:dyDescent="0.25">
      <c r="B182" s="4" t="s">
        <v>98</v>
      </c>
      <c r="C182" s="1" t="s">
        <v>52</v>
      </c>
      <c r="D182" s="1">
        <v>0.3</v>
      </c>
    </row>
    <row r="184" spans="2:6" ht="13.5" x14ac:dyDescent="0.25">
      <c r="C184" s="18" t="s">
        <v>53</v>
      </c>
      <c r="D184" s="18" t="s">
        <v>54</v>
      </c>
      <c r="E184" s="10" t="s">
        <v>44</v>
      </c>
      <c r="F184" s="10" t="s">
        <v>45</v>
      </c>
    </row>
    <row r="185" spans="2:6" x14ac:dyDescent="0.25">
      <c r="C185" s="7">
        <v>0</v>
      </c>
      <c r="D185" s="7">
        <f>100%-C185</f>
        <v>1</v>
      </c>
      <c r="E185" s="7">
        <f>+C185*$D$177+D185*$D$178</f>
        <v>0.02</v>
      </c>
      <c r="F185" s="14">
        <f>+SQRT((C185^2)*($D$179^2)+(D185^2)*($D$180^2)+2*C185*D185*$D$179*$D$180*$D$182)</f>
        <v>0.1</v>
      </c>
    </row>
    <row r="186" spans="2:6" x14ac:dyDescent="0.25">
      <c r="C186" s="15">
        <f>+C185+10%</f>
        <v>0.1</v>
      </c>
      <c r="D186" s="7">
        <f t="shared" ref="D186:D195" si="4">100%-C186</f>
        <v>0.9</v>
      </c>
      <c r="E186" s="7">
        <f t="shared" ref="E186:E195" si="5">+C186*$D$177+D186*$D$178</f>
        <v>3.0000000000000002E-2</v>
      </c>
      <c r="F186" s="14">
        <f t="shared" ref="F186:F195" si="6">+SQRT((C186^2)*($D$179^2)+(D186^2)*($D$180^2)+2*C186*D186*$D$179*$D$180*$D$182)</f>
        <v>9.693296652842108E-2</v>
      </c>
    </row>
    <row r="187" spans="2:6" x14ac:dyDescent="0.25">
      <c r="C187" s="15">
        <f t="shared" ref="C187:C195" si="7">+C186+10%</f>
        <v>0.2</v>
      </c>
      <c r="D187" s="7">
        <f t="shared" si="4"/>
        <v>0.8</v>
      </c>
      <c r="E187" s="7">
        <f t="shared" si="5"/>
        <v>0.04</v>
      </c>
      <c r="F187" s="14">
        <f t="shared" si="6"/>
        <v>9.70772887960928E-2</v>
      </c>
    </row>
    <row r="188" spans="2:6" x14ac:dyDescent="0.25">
      <c r="C188" s="15">
        <f t="shared" si="7"/>
        <v>0.30000000000000004</v>
      </c>
      <c r="D188" s="7">
        <f t="shared" si="4"/>
        <v>0.7</v>
      </c>
      <c r="E188" s="7">
        <f t="shared" si="5"/>
        <v>0.05</v>
      </c>
      <c r="F188" s="14">
        <f t="shared" si="6"/>
        <v>0.10041912168506555</v>
      </c>
    </row>
    <row r="189" spans="2:6" x14ac:dyDescent="0.25">
      <c r="C189" s="15">
        <f t="shared" si="7"/>
        <v>0.4</v>
      </c>
      <c r="D189" s="7">
        <f t="shared" si="4"/>
        <v>0.6</v>
      </c>
      <c r="E189" s="7">
        <f t="shared" si="5"/>
        <v>0.06</v>
      </c>
      <c r="F189" s="14">
        <f t="shared" si="6"/>
        <v>0.10665833300778708</v>
      </c>
    </row>
    <row r="190" spans="2:6" x14ac:dyDescent="0.25">
      <c r="C190" s="15">
        <f t="shared" si="7"/>
        <v>0.5</v>
      </c>
      <c r="D190" s="7">
        <f t="shared" si="4"/>
        <v>0.5</v>
      </c>
      <c r="E190" s="7">
        <f t="shared" si="5"/>
        <v>6.9999999999999993E-2</v>
      </c>
      <c r="F190" s="14">
        <f t="shared" si="6"/>
        <v>0.11532562594670795</v>
      </c>
    </row>
    <row r="191" spans="2:6" x14ac:dyDescent="0.25">
      <c r="C191" s="15">
        <f t="shared" si="7"/>
        <v>0.6</v>
      </c>
      <c r="D191" s="7">
        <f t="shared" si="4"/>
        <v>0.4</v>
      </c>
      <c r="E191" s="7">
        <f t="shared" si="5"/>
        <v>7.9999999999999988E-2</v>
      </c>
      <c r="F191" s="14">
        <f t="shared" si="6"/>
        <v>0.12592060990957754</v>
      </c>
    </row>
    <row r="192" spans="2:6" x14ac:dyDescent="0.25">
      <c r="C192" s="15">
        <f t="shared" si="7"/>
        <v>0.7</v>
      </c>
      <c r="D192" s="7">
        <f t="shared" si="4"/>
        <v>0.30000000000000004</v>
      </c>
      <c r="E192" s="7">
        <f t="shared" si="5"/>
        <v>0.09</v>
      </c>
      <c r="F192" s="14">
        <f t="shared" si="6"/>
        <v>0.13799999999999998</v>
      </c>
    </row>
    <row r="193" spans="2:6" x14ac:dyDescent="0.25">
      <c r="C193" s="15">
        <f t="shared" si="7"/>
        <v>0.79999999999999993</v>
      </c>
      <c r="D193" s="7">
        <f t="shared" si="4"/>
        <v>0.20000000000000007</v>
      </c>
      <c r="E193" s="7">
        <f t="shared" si="5"/>
        <v>9.9999999999999992E-2</v>
      </c>
      <c r="F193" s="14">
        <f t="shared" si="6"/>
        <v>0.15120846537148638</v>
      </c>
    </row>
    <row r="194" spans="2:6" x14ac:dyDescent="0.25">
      <c r="C194" s="15">
        <f t="shared" si="7"/>
        <v>0.89999999999999991</v>
      </c>
      <c r="D194" s="7">
        <f t="shared" si="4"/>
        <v>0.10000000000000009</v>
      </c>
      <c r="E194" s="7">
        <f t="shared" si="5"/>
        <v>0.10999999999999999</v>
      </c>
      <c r="F194" s="14">
        <f t="shared" si="6"/>
        <v>0.16527552752903255</v>
      </c>
    </row>
    <row r="195" spans="2:6" x14ac:dyDescent="0.25">
      <c r="C195" s="15">
        <f t="shared" si="7"/>
        <v>0.99999999999999989</v>
      </c>
      <c r="D195" s="7">
        <f t="shared" si="4"/>
        <v>0</v>
      </c>
      <c r="E195" s="7">
        <f t="shared" si="5"/>
        <v>0.11999999999999998</v>
      </c>
      <c r="F195" s="14">
        <f t="shared" si="6"/>
        <v>0.17999999999999997</v>
      </c>
    </row>
    <row r="198" spans="2:6" x14ac:dyDescent="0.25">
      <c r="B198" s="4" t="s">
        <v>99</v>
      </c>
      <c r="C198" s="1" t="s">
        <v>52</v>
      </c>
      <c r="D198" s="1">
        <v>-0.3</v>
      </c>
    </row>
    <row r="200" spans="2:6" ht="13.5" x14ac:dyDescent="0.25">
      <c r="C200" s="18" t="s">
        <v>53</v>
      </c>
      <c r="D200" s="18" t="s">
        <v>54</v>
      </c>
      <c r="E200" s="10" t="s">
        <v>44</v>
      </c>
      <c r="F200" s="10" t="s">
        <v>45</v>
      </c>
    </row>
    <row r="201" spans="2:6" x14ac:dyDescent="0.25">
      <c r="C201" s="7">
        <v>0</v>
      </c>
      <c r="D201" s="7">
        <f>100%-C201</f>
        <v>1</v>
      </c>
      <c r="E201" s="7">
        <f>+C201*$D$177+D201*$D$178</f>
        <v>0.02</v>
      </c>
      <c r="F201" s="14">
        <f>+SQRT((C201^2)*($D$179^2)+(D201^2)*($D$180^2)+2*C201*D201*$D$179*$D$180*$D$198)</f>
        <v>0.1</v>
      </c>
    </row>
    <row r="202" spans="2:6" x14ac:dyDescent="0.25">
      <c r="C202" s="15">
        <f>+C201+10%</f>
        <v>0.1</v>
      </c>
      <c r="D202" s="7">
        <f t="shared" ref="D202:D211" si="8">100%-C202</f>
        <v>0.9</v>
      </c>
      <c r="E202" s="7">
        <f t="shared" ref="E202:E211" si="9">+C202*$D$177+D202*$D$178</f>
        <v>3.0000000000000002E-2</v>
      </c>
      <c r="F202" s="14">
        <f t="shared" ref="F202:F211" si="10">+SQRT((C202^2)*($D$179^2)+(D202^2)*($D$180^2)+2*C202*D202*$D$179*$D$180*$D$198)</f>
        <v>8.6324967419628959E-2</v>
      </c>
    </row>
    <row r="203" spans="2:6" x14ac:dyDescent="0.25">
      <c r="C203" s="15">
        <f t="shared" ref="C203:C211" si="11">+C202+10%</f>
        <v>0.2</v>
      </c>
      <c r="D203" s="7">
        <f t="shared" si="8"/>
        <v>0.8</v>
      </c>
      <c r="E203" s="7">
        <f t="shared" si="9"/>
        <v>0.04</v>
      </c>
      <c r="F203" s="14">
        <f t="shared" si="10"/>
        <v>7.7252831663311886E-2</v>
      </c>
    </row>
    <row r="204" spans="2:6" x14ac:dyDescent="0.25">
      <c r="C204" s="15">
        <f t="shared" si="11"/>
        <v>0.30000000000000004</v>
      </c>
      <c r="D204" s="7">
        <f t="shared" si="8"/>
        <v>0.7</v>
      </c>
      <c r="E204" s="7">
        <f t="shared" si="9"/>
        <v>0.05</v>
      </c>
      <c r="F204" s="14">
        <f t="shared" si="10"/>
        <v>7.4484897798144295E-2</v>
      </c>
    </row>
    <row r="205" spans="2:6" x14ac:dyDescent="0.25">
      <c r="C205" s="15">
        <f t="shared" si="11"/>
        <v>0.4</v>
      </c>
      <c r="D205" s="7">
        <f t="shared" si="8"/>
        <v>0.6</v>
      </c>
      <c r="E205" s="7">
        <f t="shared" si="9"/>
        <v>0.06</v>
      </c>
      <c r="F205" s="14">
        <f t="shared" si="10"/>
        <v>7.8689262291624013E-2</v>
      </c>
    </row>
    <row r="206" spans="2:6" x14ac:dyDescent="0.25">
      <c r="C206" s="15">
        <f t="shared" si="11"/>
        <v>0.5</v>
      </c>
      <c r="D206" s="7">
        <f t="shared" si="8"/>
        <v>0.5</v>
      </c>
      <c r="E206" s="7">
        <f t="shared" si="9"/>
        <v>6.9999999999999993E-2</v>
      </c>
      <c r="F206" s="14">
        <f t="shared" si="10"/>
        <v>8.8881944173155897E-2</v>
      </c>
    </row>
    <row r="207" spans="2:6" x14ac:dyDescent="0.25">
      <c r="C207" s="15">
        <f t="shared" si="11"/>
        <v>0.6</v>
      </c>
      <c r="D207" s="7">
        <f t="shared" si="8"/>
        <v>0.4</v>
      </c>
      <c r="E207" s="7">
        <f t="shared" si="9"/>
        <v>7.9999999999999988E-2</v>
      </c>
      <c r="F207" s="14">
        <f t="shared" si="10"/>
        <v>0.10330537256115967</v>
      </c>
    </row>
    <row r="208" spans="2:6" x14ac:dyDescent="0.25">
      <c r="C208" s="15">
        <f t="shared" si="11"/>
        <v>0.7</v>
      </c>
      <c r="D208" s="7">
        <f t="shared" si="8"/>
        <v>0.30000000000000004</v>
      </c>
      <c r="E208" s="7">
        <f t="shared" si="9"/>
        <v>0.09</v>
      </c>
      <c r="F208" s="14">
        <f t="shared" si="10"/>
        <v>0.12044915939930839</v>
      </c>
    </row>
    <row r="209" spans="2:10" x14ac:dyDescent="0.25">
      <c r="C209" s="15">
        <f t="shared" si="11"/>
        <v>0.79999999999999993</v>
      </c>
      <c r="D209" s="7">
        <f t="shared" si="8"/>
        <v>0.20000000000000007</v>
      </c>
      <c r="E209" s="7">
        <f t="shared" si="9"/>
        <v>9.9999999999999992E-2</v>
      </c>
      <c r="F209" s="14">
        <f t="shared" si="10"/>
        <v>0.13931259813814398</v>
      </c>
    </row>
    <row r="210" spans="2:10" x14ac:dyDescent="0.25">
      <c r="C210" s="15">
        <f t="shared" si="11"/>
        <v>0.89999999999999991</v>
      </c>
      <c r="D210" s="7">
        <f t="shared" si="8"/>
        <v>0.10000000000000009</v>
      </c>
      <c r="E210" s="7">
        <f t="shared" si="9"/>
        <v>0.10999999999999999</v>
      </c>
      <c r="F210" s="14">
        <f t="shared" si="10"/>
        <v>0.15928590647009544</v>
      </c>
    </row>
    <row r="211" spans="2:10" x14ac:dyDescent="0.25">
      <c r="C211" s="15">
        <f t="shared" si="11"/>
        <v>0.99999999999999989</v>
      </c>
      <c r="D211" s="7">
        <f t="shared" si="8"/>
        <v>0</v>
      </c>
      <c r="E211" s="7">
        <f t="shared" si="9"/>
        <v>0.11999999999999998</v>
      </c>
      <c r="F211" s="14">
        <f t="shared" si="10"/>
        <v>0.17999999999999997</v>
      </c>
    </row>
    <row r="213" spans="2:10" x14ac:dyDescent="0.25">
      <c r="C213" s="30" t="s">
        <v>113</v>
      </c>
      <c r="D213" s="30"/>
      <c r="E213" s="30"/>
      <c r="F213" s="30"/>
      <c r="G213" s="30"/>
      <c r="H213" s="30"/>
      <c r="I213" s="30"/>
      <c r="J213" s="30"/>
    </row>
    <row r="214" spans="2:10" x14ac:dyDescent="0.25">
      <c r="C214" s="30"/>
      <c r="D214" s="30"/>
      <c r="E214" s="30"/>
      <c r="F214" s="30"/>
      <c r="G214" s="30"/>
      <c r="H214" s="30"/>
      <c r="I214" s="30"/>
      <c r="J214" s="30"/>
    </row>
    <row r="215" spans="2:10" x14ac:dyDescent="0.25">
      <c r="C215" s="30"/>
      <c r="D215" s="30"/>
      <c r="E215" s="30"/>
      <c r="F215" s="30"/>
      <c r="G215" s="30"/>
      <c r="H215" s="30"/>
      <c r="I215" s="30"/>
      <c r="J215" s="30"/>
    </row>
    <row r="217" spans="2:10" x14ac:dyDescent="0.25">
      <c r="B217" s="13" t="s">
        <v>100</v>
      </c>
      <c r="F217" s="1" t="s">
        <v>52</v>
      </c>
      <c r="G217" s="1">
        <f>+$D$182</f>
        <v>0.3</v>
      </c>
    </row>
    <row r="218" spans="2:10" x14ac:dyDescent="0.25">
      <c r="F218" s="1" t="s">
        <v>55</v>
      </c>
      <c r="G218" s="1">
        <f>+G217*$D$179*$D$180</f>
        <v>5.4000000000000003E-3</v>
      </c>
    </row>
    <row r="219" spans="2:10" ht="13.5" x14ac:dyDescent="0.35">
      <c r="F219" s="1" t="s">
        <v>57</v>
      </c>
      <c r="G219" s="7">
        <f>1-G220</f>
        <v>0.14556962025316478</v>
      </c>
    </row>
    <row r="220" spans="2:10" ht="13.5" x14ac:dyDescent="0.35">
      <c r="F220" s="1" t="s">
        <v>58</v>
      </c>
      <c r="G220" s="7">
        <f>+(($D$179^2)-G218)/(($D$180^2)+($D$179^2)-2*G218)</f>
        <v>0.85443037974683522</v>
      </c>
    </row>
    <row r="221" spans="2:10" ht="13.5" x14ac:dyDescent="0.35">
      <c r="F221" s="1" t="s">
        <v>44</v>
      </c>
      <c r="G221" s="7">
        <f>+SUMPRODUCT(G219:G220,$D$177:$D$178)</f>
        <v>3.4556962025316482E-2</v>
      </c>
    </row>
    <row r="222" spans="2:10" ht="13.5" x14ac:dyDescent="0.35">
      <c r="F222" s="1" t="s">
        <v>32</v>
      </c>
      <c r="G222" s="7">
        <f>+SQRT((G219^2)*($D$179^2)+(G220^2)*($D$180^2)+2*G219*G220*$D$179*$D$180*$G$217)</f>
        <v>9.65938908359915E-2</v>
      </c>
    </row>
    <row r="224" spans="2:10" x14ac:dyDescent="0.25">
      <c r="B224" s="13" t="s">
        <v>101</v>
      </c>
      <c r="C224" s="1" t="s">
        <v>52</v>
      </c>
      <c r="D224" s="1">
        <f>D198</f>
        <v>-0.3</v>
      </c>
    </row>
    <row r="225" spans="3:4" x14ac:dyDescent="0.25">
      <c r="C225" s="1" t="s">
        <v>55</v>
      </c>
      <c r="D225" s="1">
        <f>+D224*$D$179*$D$180</f>
        <v>-5.4000000000000003E-3</v>
      </c>
    </row>
    <row r="226" spans="3:4" ht="13.5" x14ac:dyDescent="0.35">
      <c r="C226" s="1" t="s">
        <v>57</v>
      </c>
      <c r="D226" s="7">
        <f>1-D227</f>
        <v>0.28947368421052633</v>
      </c>
    </row>
    <row r="227" spans="3:4" ht="13.5" x14ac:dyDescent="0.35">
      <c r="C227" s="1" t="s">
        <v>58</v>
      </c>
      <c r="D227" s="7">
        <f>+(($D$179^2)-D225)/(($D$180^2)+($D$179^2)-2*D225)</f>
        <v>0.71052631578947367</v>
      </c>
    </row>
    <row r="228" spans="3:4" ht="13.5" x14ac:dyDescent="0.35">
      <c r="C228" s="1" t="s">
        <v>44</v>
      </c>
      <c r="D228" s="7">
        <f>+SUMPRODUCT(D226:D227,$D$177:$D$178)</f>
        <v>4.8947368421052628E-2</v>
      </c>
    </row>
    <row r="229" spans="3:4" ht="13.5" x14ac:dyDescent="0.35">
      <c r="C229" s="1" t="s">
        <v>32</v>
      </c>
      <c r="D229" s="7">
        <f>+SQRT((D226^2)*($D$179^2)+(D227^2)*($D$180^2)+2*D226*D227*$D$179*$D$180*$D$224)</f>
        <v>7.4445317268166014E-2</v>
      </c>
    </row>
    <row r="261" spans="7:7" ht="12.5" x14ac:dyDescent="0.25">
      <c r="G261" s="25"/>
    </row>
    <row r="262" spans="7:7" ht="12.5" x14ac:dyDescent="0.25">
      <c r="G262" s="25"/>
    </row>
    <row r="263" spans="7:7" ht="12.5" x14ac:dyDescent="0.25">
      <c r="G263" s="25"/>
    </row>
    <row r="264" spans="7:7" ht="12.5" x14ac:dyDescent="0.25">
      <c r="G264" s="25"/>
    </row>
    <row r="265" spans="7:7" ht="12.5" x14ac:dyDescent="0.25">
      <c r="G265" s="25"/>
    </row>
    <row r="266" spans="7:7" ht="12.5" x14ac:dyDescent="0.25">
      <c r="G266" s="25"/>
    </row>
    <row r="267" spans="7:7" ht="12.5" x14ac:dyDescent="0.25">
      <c r="G267" s="25"/>
    </row>
    <row r="268" spans="7:7" ht="12.5" x14ac:dyDescent="0.25">
      <c r="G268" s="25"/>
    </row>
    <row r="269" spans="7:7" ht="12.5" x14ac:dyDescent="0.25">
      <c r="G269" s="25"/>
    </row>
    <row r="270" spans="7:7" ht="12.5" x14ac:dyDescent="0.25">
      <c r="G270" s="25"/>
    </row>
    <row r="271" spans="7:7" ht="12.5" x14ac:dyDescent="0.25">
      <c r="G271" s="25"/>
    </row>
    <row r="272" spans="7:7" ht="12.5" x14ac:dyDescent="0.25">
      <c r="G272" s="25"/>
    </row>
    <row r="273" spans="6:7" ht="12.5" x14ac:dyDescent="0.25">
      <c r="G273" s="25"/>
    </row>
    <row r="274" spans="6:7" ht="12.5" x14ac:dyDescent="0.25">
      <c r="G274" s="25"/>
    </row>
    <row r="275" spans="6:7" ht="12.5" x14ac:dyDescent="0.25">
      <c r="G275" s="25"/>
    </row>
    <row r="276" spans="6:7" ht="12.5" x14ac:dyDescent="0.25">
      <c r="G276" s="25"/>
    </row>
    <row r="277" spans="6:7" ht="12.5" x14ac:dyDescent="0.25">
      <c r="G277" s="25"/>
    </row>
    <row r="278" spans="6:7" ht="12.5" x14ac:dyDescent="0.25">
      <c r="G278" s="25"/>
    </row>
    <row r="279" spans="6:7" ht="12.5" x14ac:dyDescent="0.25">
      <c r="F279" s="25"/>
      <c r="G279" s="25"/>
    </row>
  </sheetData>
  <mergeCells count="9">
    <mergeCell ref="C213:J215"/>
    <mergeCell ref="C6:O10"/>
    <mergeCell ref="C31:H33"/>
    <mergeCell ref="C56:J59"/>
    <mergeCell ref="L56:L57"/>
    <mergeCell ref="M56:M57"/>
    <mergeCell ref="N56:N57"/>
    <mergeCell ref="C53:J54"/>
    <mergeCell ref="E92:J94"/>
  </mergeCells>
  <pageMargins left="0.7" right="0.7" top="0.75" bottom="0.75" header="0.3" footer="0.3"/>
  <pageSetup orientation="portrait" r:id="rId1"/>
  <ignoredErrors>
    <ignoredError sqref="B35 B56"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Sequeira</dc:creator>
  <cp:lastModifiedBy>Martijn Boons</cp:lastModifiedBy>
  <dcterms:created xsi:type="dcterms:W3CDTF">2018-09-16T18:06:02Z</dcterms:created>
  <dcterms:modified xsi:type="dcterms:W3CDTF">2025-01-07T13:38:22Z</dcterms:modified>
</cp:coreProperties>
</file>