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Dropbox\D-Drive Uni\Teaching\Nova\Investments\Spring 2025\Final\"/>
    </mc:Choice>
  </mc:AlternateContent>
  <xr:revisionPtr revIDLastSave="0" documentId="13_ncr:1_{8B7B3E48-78D8-43B8-B64B-A6B40F5B971B}" xr6:coauthVersionLast="47" xr6:coauthVersionMax="47" xr10:uidLastSave="{00000000-0000-0000-0000-000000000000}"/>
  <bookViews>
    <workbookView xWindow="-110" yWindow="-110" windowWidth="25180" windowHeight="16140" activeTab="8" xr2:uid="{00000000-000D-0000-FFFF-FFFF00000000}"/>
  </bookViews>
  <sheets>
    <sheet name="Formula sheet" sheetId="10" r:id="rId1"/>
    <sheet name="Exercise 1" sheetId="7" r:id="rId2"/>
    <sheet name="Exercise 2" sheetId="8" r:id="rId3"/>
    <sheet name="Exercise 3" sheetId="9" r:id="rId4"/>
    <sheet name="Exercise 4" sheetId="11" r:id="rId5"/>
    <sheet name="Exercise 5" sheetId="12" r:id="rId6"/>
    <sheet name="Exercise 6" sheetId="13" r:id="rId7"/>
    <sheet name="Exercise 7" sheetId="14" r:id="rId8"/>
    <sheet name="Solution 7" sheetId="15" r:id="rId9"/>
  </sheets>
  <externalReferences>
    <externalReference r:id="rId10"/>
  </externalReferences>
  <definedNames>
    <definedName name="OLE_LINK2" localSheetId="0">'Formula sheet'!$B$50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5" l="1"/>
  <c r="H43" i="15"/>
  <c r="D34" i="15"/>
  <c r="J34" i="15"/>
  <c r="I34" i="15"/>
  <c r="H36" i="15"/>
  <c r="C47" i="13"/>
  <c r="E42" i="13"/>
  <c r="C41" i="13"/>
  <c r="C40" i="13"/>
  <c r="C13" i="13"/>
  <c r="C14" i="13"/>
  <c r="F26" i="13" s="1"/>
  <c r="L13" i="12"/>
  <c r="L12" i="12"/>
  <c r="L11" i="12"/>
  <c r="L10" i="12"/>
  <c r="C26" i="12"/>
  <c r="C16" i="12"/>
  <c r="D16" i="12" s="1"/>
  <c r="C15" i="12"/>
  <c r="D15" i="12" s="1"/>
  <c r="C14" i="12"/>
  <c r="D14" i="12" s="1"/>
  <c r="C13" i="12"/>
  <c r="D13" i="12" s="1"/>
  <c r="C12" i="12"/>
  <c r="D12" i="12" s="1"/>
  <c r="C11" i="12"/>
  <c r="D11" i="12" s="1"/>
  <c r="C10" i="12"/>
  <c r="D10" i="12" s="1"/>
  <c r="C9" i="12"/>
  <c r="D9" i="12" s="1"/>
  <c r="C8" i="12"/>
  <c r="D8" i="12" s="1"/>
  <c r="C7" i="12"/>
  <c r="D7" i="12" s="1"/>
  <c r="C6" i="12"/>
  <c r="D6" i="12" s="1"/>
  <c r="C5" i="12"/>
  <c r="D5" i="12" s="1"/>
  <c r="C41" i="12"/>
  <c r="D41" i="12" s="1"/>
  <c r="C42" i="12"/>
  <c r="D42" i="12" s="1"/>
  <c r="C43" i="12"/>
  <c r="D43" i="12" s="1"/>
  <c r="C44" i="12"/>
  <c r="D44" i="12" s="1"/>
  <c r="C45" i="12"/>
  <c r="D45" i="12" s="1"/>
  <c r="C46" i="12"/>
  <c r="D46" i="12" s="1"/>
  <c r="C47" i="12"/>
  <c r="D47" i="12" s="1"/>
  <c r="C48" i="12"/>
  <c r="D48" i="12" s="1"/>
  <c r="C49" i="12"/>
  <c r="D49" i="12" s="1"/>
  <c r="C50" i="12"/>
  <c r="D50" i="12" s="1"/>
  <c r="C51" i="12"/>
  <c r="D51" i="12" s="1"/>
  <c r="C40" i="12"/>
  <c r="D40" i="12" s="1"/>
  <c r="C43" i="15"/>
  <c r="H35" i="15"/>
  <c r="H34" i="15"/>
  <c r="D31" i="15"/>
  <c r="D30" i="15"/>
  <c r="F19" i="15"/>
  <c r="F18" i="15"/>
  <c r="F17" i="15"/>
  <c r="F16" i="15"/>
  <c r="G9" i="15"/>
  <c r="G8" i="15"/>
  <c r="G7" i="15"/>
  <c r="G6" i="15"/>
  <c r="G10" i="15" s="1"/>
  <c r="H9" i="15" s="1"/>
  <c r="I9" i="15" s="1"/>
  <c r="B29" i="13"/>
  <c r="B30" i="13"/>
  <c r="A29" i="13"/>
  <c r="K13" i="13"/>
  <c r="K14" i="13"/>
  <c r="B26" i="12"/>
  <c r="F30" i="12"/>
  <c r="F31" i="12" s="1"/>
  <c r="F16" i="13" l="1"/>
  <c r="F17" i="13" s="1"/>
  <c r="E40" i="12"/>
  <c r="E51" i="12"/>
  <c r="E50" i="12"/>
  <c r="E49" i="12"/>
  <c r="E48" i="12"/>
  <c r="E47" i="12"/>
  <c r="E46" i="12"/>
  <c r="E45" i="12"/>
  <c r="E44" i="12"/>
  <c r="E43" i="12"/>
  <c r="E42" i="12"/>
  <c r="E41" i="12"/>
  <c r="H7" i="15"/>
  <c r="I7" i="15" s="1"/>
  <c r="H8" i="15"/>
  <c r="I8" i="15" s="1"/>
  <c r="F20" i="15"/>
  <c r="H6" i="15"/>
  <c r="H21" i="13"/>
  <c r="H22" i="13" s="1"/>
  <c r="H14" i="13"/>
  <c r="H15" i="13" s="1"/>
  <c r="N16" i="13"/>
  <c r="N17" i="13" s="1"/>
  <c r="P14" i="13" s="1"/>
  <c r="N26" i="13"/>
  <c r="N27" i="13" s="1"/>
  <c r="P31" i="13" s="1"/>
  <c r="P32" i="13" s="1"/>
  <c r="F27" i="13"/>
  <c r="H31" i="13" s="1"/>
  <c r="H32" i="13" s="1"/>
  <c r="F33" i="12"/>
  <c r="F32" i="12"/>
  <c r="F34" i="12" s="1"/>
  <c r="P21" i="13" l="1"/>
  <c r="P22" i="13" s="1"/>
  <c r="H24" i="13"/>
  <c r="H25" i="13" s="1"/>
  <c r="P24" i="13"/>
  <c r="P25" i="13" s="1"/>
  <c r="N28" i="13" s="1"/>
  <c r="N29" i="13" s="1"/>
  <c r="G19" i="15"/>
  <c r="H19" i="15" s="1"/>
  <c r="G17" i="15"/>
  <c r="H17" i="15" s="1"/>
  <c r="I6" i="15"/>
  <c r="I10" i="15" s="1"/>
  <c r="H10" i="15"/>
  <c r="G18" i="15"/>
  <c r="H18" i="15" s="1"/>
  <c r="G16" i="15"/>
  <c r="P15" i="13"/>
  <c r="N18" i="13" s="1"/>
  <c r="N19" i="13" s="1"/>
  <c r="N20" i="13" s="1"/>
  <c r="F35" i="12"/>
  <c r="F36" i="12" s="1"/>
  <c r="H16" i="15" l="1"/>
  <c r="H20" i="15" s="1"/>
  <c r="G20" i="15"/>
  <c r="N30" i="13"/>
  <c r="L23" i="13" s="1"/>
  <c r="L24" i="13" s="1"/>
  <c r="L25" i="13" s="1"/>
  <c r="D32" i="15" l="1"/>
  <c r="D35" i="15"/>
  <c r="I23" i="11" l="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J49" i="11" s="1"/>
  <c r="I50" i="11"/>
  <c r="I51" i="11"/>
  <c r="I52" i="11"/>
  <c r="I53" i="11"/>
  <c r="I54" i="11"/>
  <c r="I55" i="11"/>
  <c r="I56" i="11"/>
  <c r="I57" i="11"/>
  <c r="I58" i="11"/>
  <c r="J58" i="11" s="1"/>
  <c r="I59" i="11"/>
  <c r="I60" i="11"/>
  <c r="I61" i="11"/>
  <c r="I62" i="11"/>
  <c r="I22" i="11"/>
  <c r="J22" i="11" s="1"/>
  <c r="D43" i="11"/>
  <c r="H43" i="11" s="1"/>
  <c r="E43" i="11"/>
  <c r="F43" i="11"/>
  <c r="G43" i="11"/>
  <c r="D44" i="11"/>
  <c r="E44" i="11"/>
  <c r="F44" i="11"/>
  <c r="G44" i="11"/>
  <c r="H44" i="11"/>
  <c r="J44" i="11" s="1"/>
  <c r="D45" i="11"/>
  <c r="E45" i="11"/>
  <c r="H45" i="11" s="1"/>
  <c r="F45" i="11"/>
  <c r="G45" i="11"/>
  <c r="D46" i="11"/>
  <c r="E46" i="11"/>
  <c r="H46" i="11" s="1"/>
  <c r="J46" i="11" s="1"/>
  <c r="F46" i="11"/>
  <c r="G46" i="11"/>
  <c r="D47" i="11"/>
  <c r="E47" i="11"/>
  <c r="F47" i="11"/>
  <c r="G47" i="11"/>
  <c r="H47" i="11"/>
  <c r="J47" i="11" s="1"/>
  <c r="D48" i="11"/>
  <c r="E48" i="11"/>
  <c r="F48" i="11"/>
  <c r="G48" i="11"/>
  <c r="H48" i="11"/>
  <c r="J48" i="11" s="1"/>
  <c r="D49" i="11"/>
  <c r="E49" i="11"/>
  <c r="F49" i="11"/>
  <c r="G49" i="11"/>
  <c r="H49" i="11"/>
  <c r="D50" i="11"/>
  <c r="E50" i="11"/>
  <c r="H50" i="11" s="1"/>
  <c r="F50" i="11"/>
  <c r="G50" i="11"/>
  <c r="D51" i="11"/>
  <c r="E51" i="11"/>
  <c r="F51" i="11"/>
  <c r="G51" i="11"/>
  <c r="H51" i="11"/>
  <c r="J51" i="11"/>
  <c r="D52" i="11"/>
  <c r="E52" i="11"/>
  <c r="H52" i="11" s="1"/>
  <c r="J52" i="11" s="1"/>
  <c r="F52" i="11"/>
  <c r="G52" i="11"/>
  <c r="D53" i="11"/>
  <c r="E53" i="11"/>
  <c r="H53" i="11" s="1"/>
  <c r="J53" i="11" s="1"/>
  <c r="F53" i="11"/>
  <c r="G53" i="11"/>
  <c r="D54" i="11"/>
  <c r="E54" i="11"/>
  <c r="H54" i="11" s="1"/>
  <c r="F54" i="11"/>
  <c r="G54" i="11"/>
  <c r="D55" i="11"/>
  <c r="E55" i="11"/>
  <c r="H55" i="11" s="1"/>
  <c r="F55" i="11"/>
  <c r="G55" i="11"/>
  <c r="D56" i="11"/>
  <c r="E56" i="11"/>
  <c r="F56" i="11"/>
  <c r="G56" i="11"/>
  <c r="H56" i="11"/>
  <c r="D57" i="11"/>
  <c r="H57" i="11" s="1"/>
  <c r="E57" i="11"/>
  <c r="F57" i="11"/>
  <c r="G57" i="11"/>
  <c r="D58" i="11"/>
  <c r="E58" i="11"/>
  <c r="F58" i="11"/>
  <c r="G58" i="11"/>
  <c r="H58" i="11"/>
  <c r="D59" i="11"/>
  <c r="H59" i="11" s="1"/>
  <c r="E59" i="11"/>
  <c r="F59" i="11"/>
  <c r="G59" i="11"/>
  <c r="D60" i="11"/>
  <c r="H60" i="11" s="1"/>
  <c r="J60" i="11" s="1"/>
  <c r="E60" i="11"/>
  <c r="F60" i="11"/>
  <c r="G60" i="11"/>
  <c r="D61" i="11"/>
  <c r="E61" i="11"/>
  <c r="H61" i="11" s="1"/>
  <c r="F61" i="11"/>
  <c r="G61" i="11"/>
  <c r="D62" i="11"/>
  <c r="E62" i="11"/>
  <c r="H62" i="11" s="1"/>
  <c r="J62" i="11" s="1"/>
  <c r="F62" i="11"/>
  <c r="G62" i="11"/>
  <c r="G23" i="11"/>
  <c r="G24" i="11"/>
  <c r="G25" i="11"/>
  <c r="G26" i="11"/>
  <c r="G27" i="11"/>
  <c r="G28" i="11"/>
  <c r="G29" i="11"/>
  <c r="G30" i="11"/>
  <c r="G31" i="11"/>
  <c r="G32" i="11"/>
  <c r="G33" i="11"/>
  <c r="G34" i="11"/>
  <c r="G35" i="11"/>
  <c r="G36" i="11"/>
  <c r="G37" i="11"/>
  <c r="G38" i="11"/>
  <c r="G39" i="11"/>
  <c r="G40" i="11"/>
  <c r="G41" i="11"/>
  <c r="G42" i="11"/>
  <c r="G22" i="11"/>
  <c r="F23" i="11"/>
  <c r="F24" i="11"/>
  <c r="F25" i="11"/>
  <c r="F26" i="11"/>
  <c r="F27" i="11"/>
  <c r="F28" i="11"/>
  <c r="F29" i="11"/>
  <c r="F30" i="11"/>
  <c r="F31" i="11"/>
  <c r="F32" i="11"/>
  <c r="F33" i="11"/>
  <c r="F34" i="11"/>
  <c r="F35" i="11"/>
  <c r="F36" i="11"/>
  <c r="F37" i="11"/>
  <c r="F38" i="11"/>
  <c r="F39" i="11"/>
  <c r="F40" i="11"/>
  <c r="F41" i="11"/>
  <c r="F42" i="11"/>
  <c r="F22" i="11"/>
  <c r="D23" i="11"/>
  <c r="E23" i="11"/>
  <c r="D24" i="11"/>
  <c r="E24" i="11"/>
  <c r="H24" i="11" s="1"/>
  <c r="D25" i="11"/>
  <c r="E25" i="11"/>
  <c r="D26" i="11"/>
  <c r="E26" i="11"/>
  <c r="H26" i="11" s="1"/>
  <c r="D27" i="11"/>
  <c r="E27" i="11"/>
  <c r="D28" i="11"/>
  <c r="E28" i="11"/>
  <c r="D29" i="11"/>
  <c r="E29" i="11"/>
  <c r="H29" i="11" s="1"/>
  <c r="D30" i="11"/>
  <c r="E30" i="11"/>
  <c r="D31" i="11"/>
  <c r="E31" i="11"/>
  <c r="D32" i="11"/>
  <c r="E32" i="11"/>
  <c r="H32" i="11" s="1"/>
  <c r="D33" i="11"/>
  <c r="E33" i="11"/>
  <c r="D34" i="11"/>
  <c r="E34" i="11"/>
  <c r="D35" i="11"/>
  <c r="E35" i="11"/>
  <c r="D36" i="11"/>
  <c r="E36" i="11"/>
  <c r="D37" i="11"/>
  <c r="E37" i="11"/>
  <c r="H37" i="11" s="1"/>
  <c r="D38" i="11"/>
  <c r="E38" i="11"/>
  <c r="D39" i="11"/>
  <c r="E39" i="11"/>
  <c r="D40" i="11"/>
  <c r="E40" i="11"/>
  <c r="H40" i="11" s="1"/>
  <c r="D41" i="11"/>
  <c r="E41" i="11"/>
  <c r="D42" i="11"/>
  <c r="E42" i="11"/>
  <c r="H42" i="11" s="1"/>
  <c r="E22" i="11"/>
  <c r="H22" i="11" s="1"/>
  <c r="D22" i="11"/>
  <c r="C28" i="9"/>
  <c r="D28" i="9" s="1"/>
  <c r="J56" i="11" l="1"/>
  <c r="J57" i="11"/>
  <c r="J45" i="11"/>
  <c r="J50" i="11"/>
  <c r="J59" i="11"/>
  <c r="J55" i="11"/>
  <c r="J61" i="11"/>
  <c r="J54" i="11"/>
  <c r="J43" i="11"/>
  <c r="H28" i="11"/>
  <c r="J29" i="11"/>
  <c r="H36" i="11"/>
  <c r="H27" i="11"/>
  <c r="J42" i="11"/>
  <c r="J37" i="11"/>
  <c r="J36" i="11"/>
  <c r="J27" i="11"/>
  <c r="J28" i="11"/>
  <c r="H35" i="11"/>
  <c r="J26" i="11"/>
  <c r="H34" i="11"/>
  <c r="H41" i="11"/>
  <c r="H33" i="11"/>
  <c r="H25" i="11"/>
  <c r="H39" i="11"/>
  <c r="J39" i="11" s="1"/>
  <c r="H31" i="11"/>
  <c r="H23" i="11"/>
  <c r="J23" i="11" s="1"/>
  <c r="H38" i="11"/>
  <c r="J38" i="11" s="1"/>
  <c r="H30" i="11"/>
  <c r="J30" i="11" s="1"/>
  <c r="J32" i="11"/>
  <c r="J40" i="11"/>
  <c r="J24" i="11"/>
  <c r="J33" i="11" l="1"/>
  <c r="J25" i="11"/>
  <c r="J31" i="11"/>
  <c r="J35" i="11"/>
  <c r="J34" i="11"/>
  <c r="J41" i="11"/>
  <c r="D37" i="7" l="1"/>
  <c r="D38" i="7" s="1"/>
  <c r="E37" i="7"/>
  <c r="E38" i="7" s="1"/>
  <c r="C37" i="7"/>
  <c r="C38" i="7" s="1"/>
  <c r="D31" i="7"/>
  <c r="D32" i="7" s="1"/>
  <c r="E31" i="7"/>
  <c r="E32" i="7" s="1"/>
  <c r="F31" i="7"/>
  <c r="F32" i="7" s="1"/>
  <c r="C31" i="7"/>
  <c r="C32" i="7" s="1"/>
  <c r="D43" i="7"/>
  <c r="D44" i="7" s="1"/>
  <c r="C43" i="7"/>
  <c r="C44" i="7" s="1"/>
  <c r="D25" i="7"/>
  <c r="D26" i="7" s="1"/>
  <c r="E25" i="7"/>
  <c r="E26" i="7" s="1"/>
  <c r="F25" i="7"/>
  <c r="F26" i="7" s="1"/>
  <c r="G25" i="7"/>
  <c r="G26" i="7" s="1"/>
  <c r="C25" i="7"/>
  <c r="C26" i="7" s="1"/>
  <c r="D21" i="7"/>
  <c r="E21" i="7"/>
  <c r="F21" i="7"/>
  <c r="G21" i="7"/>
  <c r="H21" i="7"/>
  <c r="C21" i="7"/>
  <c r="B22" i="7" l="1"/>
  <c r="B45" i="7"/>
  <c r="B39" i="7"/>
  <c r="B33" i="7"/>
  <c r="B27" i="7"/>
  <c r="B28" i="7" s="1"/>
  <c r="B46" i="7" l="1"/>
  <c r="B34" i="7"/>
  <c r="B40" i="7"/>
  <c r="C48" i="7" l="1"/>
  <c r="B48" i="7"/>
  <c r="F18" i="13"/>
  <c r="F19" i="13" s="1"/>
  <c r="F20" i="13" l="1"/>
  <c r="F28" i="13"/>
  <c r="F29" i="13" s="1"/>
  <c r="F30" i="13" l="1"/>
  <c r="D23" i="13" l="1"/>
  <c r="D24" i="13" l="1"/>
  <c r="M23" i="13"/>
  <c r="C42" i="13" s="1"/>
  <c r="D25" i="13"/>
  <c r="D26" i="13" l="1"/>
  <c r="C46" i="13" s="1"/>
  <c r="C44" i="13"/>
  <c r="C45" i="13" s="1"/>
</calcChain>
</file>

<file path=xl/sharedStrings.xml><?xml version="1.0" encoding="utf-8"?>
<sst xmlns="http://schemas.openxmlformats.org/spreadsheetml/2006/main" count="259" uniqueCount="178">
  <si>
    <t>y</t>
  </si>
  <si>
    <t>A</t>
  </si>
  <si>
    <t>B</t>
  </si>
  <si>
    <t>r</t>
  </si>
  <si>
    <t>PV</t>
  </si>
  <si>
    <t>Price</t>
  </si>
  <si>
    <t>Return</t>
  </si>
  <si>
    <t>C</t>
  </si>
  <si>
    <t>D</t>
  </si>
  <si>
    <t>Spot rates</t>
  </si>
  <si>
    <t>Cash flow</t>
  </si>
  <si>
    <t>Fwd rates</t>
  </si>
  <si>
    <t>1-&gt;2</t>
  </si>
  <si>
    <t>1-&gt;3</t>
  </si>
  <si>
    <t>1-&gt;4</t>
  </si>
  <si>
    <t>1-&gt;5</t>
  </si>
  <si>
    <t>1-&gt;6</t>
  </si>
  <si>
    <t>PV at time 1</t>
  </si>
  <si>
    <t>Price at time 1</t>
  </si>
  <si>
    <t>4-&gt;5</t>
  </si>
  <si>
    <t>4-&gt;6</t>
  </si>
  <si>
    <t>PV at time 4</t>
  </si>
  <si>
    <t>2-&gt;3</t>
  </si>
  <si>
    <t>2-&gt;4</t>
  </si>
  <si>
    <t>2-&gt;5</t>
  </si>
  <si>
    <t>2-&gt;6</t>
  </si>
  <si>
    <t>PV at time 2</t>
  </si>
  <si>
    <t>3-&gt;4</t>
  </si>
  <si>
    <t>5-&gt;6</t>
  </si>
  <si>
    <t>f_0-&gt;1</t>
  </si>
  <si>
    <t>f_1-&gt;2</t>
  </si>
  <si>
    <t>f_2-&gt;3</t>
  </si>
  <si>
    <t>PV at time 3</t>
  </si>
  <si>
    <t>f_3-&gt;4</t>
  </si>
  <si>
    <t>When the Exp Hyp of the term structure holds, the return in each year over the life of the bond is just the forward rate for that year. If you reinvest coupons, you should compound these annual returns.</t>
  </si>
  <si>
    <t>Moreover, (1+f_1-&gt;2)*(1+f_2-&gt;3)*(1+f_3-&gt;4) = (1+f_1-&gt;2)*(1+f_2-&gt;4)^2, since (1+f_2-&gt;4)^2 = ((1+f_0-&gt;4)^4 / (1+f_0-&gt;2)^2) =  ((1+f_0-&gt;3)^3 / ((1+f_0-&gt;2)^2) * ((1+f_0-&gt;4)^4 / ((1+f_0-&gt;3)^3) = (1+f_2-&gt;3)*(1+f_3-&gt;4)</t>
  </si>
  <si>
    <t>overestimate the change in the bond price (ie the estimated drop in the bond price will be too large).</t>
  </si>
  <si>
    <t>underestimate the change in the bond price (ie the estimated drop in the bond price will be too small).</t>
  </si>
  <si>
    <t>overestimate the change in the bond price (ie the estimated drop in the bond price will be too large) only when the yield curve is upward sloping.</t>
  </si>
  <si>
    <t>underestimate the change in the bond price (ie the estimated drop in the bond price will be too small) only when the yield curve is upward sloping.</t>
  </si>
  <si>
    <t>Ba1 yield</t>
  </si>
  <si>
    <t>Yield</t>
  </si>
  <si>
    <t>The beta must be 0.87.</t>
  </si>
  <si>
    <t>The beta must be larger than 0.87.</t>
  </si>
  <si>
    <t>The beta must be smaller than 0.87.</t>
  </si>
  <si>
    <t>We cannot say anything about the beta.</t>
  </si>
  <si>
    <t>Beta must be smaller than:</t>
  </si>
  <si>
    <t>because: Yield - prob of default * loss given default  = E(R_bond) = beta bond * MRP</t>
  </si>
  <si>
    <t>K</t>
  </si>
  <si>
    <t>Call</t>
  </si>
  <si>
    <t>Put</t>
  </si>
  <si>
    <t>Total</t>
  </si>
  <si>
    <t>Bull call</t>
  </si>
  <si>
    <t>Bear put</t>
  </si>
  <si>
    <t>Long call with strike price 60, short call with strike price 70, long put with strike price 60, short put with strike price 50.</t>
  </si>
  <si>
    <t>Long call with strike price 70, short call with strike price 60, long put with strike price 50, short put with strike price 60.</t>
  </si>
  <si>
    <t>Long call with strike price 60 and long put with strike price 60.</t>
  </si>
  <si>
    <t>S0</t>
  </si>
  <si>
    <t>PV(K)</t>
  </si>
  <si>
    <t>d1</t>
  </si>
  <si>
    <t>T</t>
  </si>
  <si>
    <t>d2</t>
  </si>
  <si>
    <t>N(d1)</t>
  </si>
  <si>
    <t>sigma</t>
  </si>
  <si>
    <t>N(d2)</t>
  </si>
  <si>
    <t>C0</t>
  </si>
  <si>
    <t>P0</t>
  </si>
  <si>
    <t>Thus you give up upside potential over 69/57-1</t>
  </si>
  <si>
    <t>S_uu</t>
  </si>
  <si>
    <t>c_uu</t>
  </si>
  <si>
    <t>S_u (pre-dividend)</t>
  </si>
  <si>
    <t>S_u (ex-dividend)</t>
  </si>
  <si>
    <t>Delta</t>
  </si>
  <si>
    <t>c_u</t>
  </si>
  <si>
    <t>S_0</t>
  </si>
  <si>
    <t>S_ud</t>
  </si>
  <si>
    <t>c_ud</t>
  </si>
  <si>
    <t>S_du</t>
  </si>
  <si>
    <t>c_0</t>
  </si>
  <si>
    <t>c_du</t>
  </si>
  <si>
    <t>S_d (pre-dividend)</t>
  </si>
  <si>
    <t>S_d (ex-dividend)</t>
  </si>
  <si>
    <t>c_d</t>
  </si>
  <si>
    <t>S_dd</t>
  </si>
  <si>
    <t>c_dd</t>
  </si>
  <si>
    <t>u</t>
  </si>
  <si>
    <t>d</t>
  </si>
  <si>
    <t>p_0</t>
  </si>
  <si>
    <t>Use a two-period binomial tree to estimate the value of the call and put and decompose this value into intrinsic value and time value.</t>
  </si>
  <si>
    <t>all the value of these options is time value, because the intrinsic value is zero.</t>
  </si>
  <si>
    <r>
      <t xml:space="preserve">Tino Inc. stock is currently trading at $100. The annualized volatility of the stock is 25%. European at the money put and call options on the stock are traded that expire in </t>
    </r>
    <r>
      <rPr>
        <b/>
        <i/>
        <sz val="12"/>
        <color rgb="FF000000"/>
        <rFont val="Times New Roman"/>
        <family val="1"/>
      </rPr>
      <t>two months</t>
    </r>
    <r>
      <rPr>
        <sz val="12"/>
        <color rgb="FF000000"/>
        <rFont val="Times New Roman"/>
        <family val="1"/>
      </rPr>
      <t xml:space="preserve">. The continuously compounded risk-free rate is 5% annualized. </t>
    </r>
  </si>
  <si>
    <t>Beta put</t>
  </si>
  <si>
    <t>E(Rann)</t>
  </si>
  <si>
    <t>per month:</t>
  </si>
  <si>
    <t>Will the time value of options with a strike price of 90 be higher or lower than the time value of the options with a strike price of 100? There is no need to calculate anything to answer this question.</t>
  </si>
  <si>
    <t>TV</t>
  </si>
  <si>
    <t>put</t>
  </si>
  <si>
    <t>call</t>
  </si>
  <si>
    <t>The time value of options is highest at the money, because that's where the asymmetry of option payoffs is most attractive: price move against you, payoff remains at 0; price moves in other direction, payoff increases.</t>
  </si>
  <si>
    <t xml:space="preserve">For the in the money 90 strike call, if prices move down (from 100), payoff decreases. If price moves up, payoff increases. </t>
  </si>
  <si>
    <t xml:space="preserve">For the out of the money 90 strike put, even if prices move down (from 100), payoff may not yet increase. If price moves up, payoff remains at zero. </t>
  </si>
  <si>
    <t>Market price call</t>
  </si>
  <si>
    <t>Short call</t>
  </si>
  <si>
    <t>Long put, stock and short PV(K)</t>
  </si>
  <si>
    <t>Profit today</t>
  </si>
  <si>
    <t>Payoffs at maturity</t>
  </si>
  <si>
    <t>S_T&lt;K</t>
  </si>
  <si>
    <t>ST&gt;K</t>
  </si>
  <si>
    <t>ST-K</t>
  </si>
  <si>
    <t>K-ST+ST-K = 0</t>
  </si>
  <si>
    <t>0+ ST_K</t>
  </si>
  <si>
    <t>Bond A</t>
  </si>
  <si>
    <t>Year</t>
  </si>
  <si>
    <t>CF</t>
  </si>
  <si>
    <t>PV of CF</t>
  </si>
  <si>
    <t>Weight</t>
  </si>
  <si>
    <t>Weight*Years</t>
  </si>
  <si>
    <t>Coupon rate</t>
  </si>
  <si>
    <t xml:space="preserve">Maturity </t>
  </si>
  <si>
    <t>Face value</t>
  </si>
  <si>
    <t xml:space="preserve">Interest rate </t>
  </si>
  <si>
    <t>Pension Plan</t>
  </si>
  <si>
    <t>Bond C</t>
  </si>
  <si>
    <t>years</t>
  </si>
  <si>
    <t>Cf</t>
  </si>
  <si>
    <t>Disc Cf</t>
  </si>
  <si>
    <t>weight</t>
  </si>
  <si>
    <t>weight*years</t>
  </si>
  <si>
    <t>7 years</t>
  </si>
  <si>
    <t>duration</t>
  </si>
  <si>
    <t>interest rate</t>
  </si>
  <si>
    <t>total</t>
  </si>
  <si>
    <t>Modified duration</t>
  </si>
  <si>
    <t>Pension</t>
  </si>
  <si>
    <t>of total value in pension in Bond A</t>
  </si>
  <si>
    <t>of total value in pension in Bond C</t>
  </si>
  <si>
    <t>w</t>
  </si>
  <si>
    <t>(1-w)</t>
  </si>
  <si>
    <t>w * (MDurA-MDurC) + MDurC = MDurPension</t>
  </si>
  <si>
    <t>This matches the duration of assets and liabilities but forces the investment in the bonds to equal to value of the pension fund</t>
  </si>
  <si>
    <t>in $</t>
  </si>
  <si>
    <t>$ investment in bond C</t>
  </si>
  <si>
    <t>What is the expected return of a correctly priced default risk-free 4% annual coupon bond with 6 years to maturity if you buy it one year from today (just after the first coupon is paid) and sell it four years from today (right after the 4th coupon is paid)? Assume that the expectation hypothesis of the term structure is correct and that you reinvest the coupons. Note, f_x--&gt;y represents the forward interest rate for 1$ deposited at time x and taken out at time y.</t>
  </si>
  <si>
    <t>Numerical example:</t>
  </si>
  <si>
    <t>When the yield to maturity of a semi-annual coupon bond increases, a duration-based approximation of the change in the bond price will</t>
  </si>
  <si>
    <t xml:space="preserve">Yield </t>
  </si>
  <si>
    <t>up</t>
  </si>
  <si>
    <t>Duration</t>
  </si>
  <si>
    <t>down</t>
  </si>
  <si>
    <t>Interest sensitivity</t>
  </si>
  <si>
    <t>Convexity effect is ignored</t>
  </si>
  <si>
    <t xml:space="preserve">Consider the payoff structure in the figure on the right. Which options must the trader be long and short? </t>
  </si>
  <si>
    <t>You finance buying the put with a strike price of 51 by selling a call with a strike price of 69, thus giving up any return above approximately 21%.</t>
  </si>
  <si>
    <t>First note that the current stock price must be 57, so you buy the 51 put, which means you are going to sell the 69 call.</t>
  </si>
  <si>
    <t>Intuition: need to give up a lot of upside, because 6 months is long and underlying stock is very volatile, and therefore expected return on the underlying is large and positive</t>
  </si>
  <si>
    <t>You finance buying the put with a strike price of 48 by selling a call with a strike price of 75, thus giving up any return above approximately 32%.</t>
  </si>
  <si>
    <t>You finance buying a call with a strike price of 69 by selling a put with a strike price of 51, thus giving up any return above approximately 21%.</t>
  </si>
  <si>
    <t>You finance buying the put with a strike price of 51 by selling a call with a strike price of 69, thus giving up any return above approximately 35%.</t>
  </si>
  <si>
    <t>Assuming that the beta of Tino Inc. stock is 0.85 and the market risk premium is 5% (annualized), approximate the expected return over the next month for the put option using to the CAPM?</t>
  </si>
  <si>
    <t>or</t>
  </si>
  <si>
    <t xml:space="preserve">Suppose that the 100 strike call option in the market is mispriced and traded at a price 2$ above what you calculated. What positions must you take to generate an arbitrage profit? Also show how your arbitrage strategy is risk-free. </t>
  </si>
  <si>
    <t xml:space="preserve"> Consider two bonds with FV= 1000$ and yearly coupon payments: bond A with C=2% and T=4 years and bond C with C=0% and T=7 years. The spot rate is 5%, with flat curve.</t>
  </si>
  <si>
    <t>1) Calculate the duration of bond A</t>
  </si>
  <si>
    <t>2) Calculate the duration of bond C</t>
  </si>
  <si>
    <t xml:space="preserve">3) Calculate the duration of a pension liability that promises to 30,000$ in year 2,3,4 and 130,000$ in year 5. </t>
  </si>
  <si>
    <t>Hence, Mdur(BondC)*InvestmentinC = Mdur(Liability)*Liability</t>
  </si>
  <si>
    <t>4) Suppose you are an Asset Liability Manager that wants to invest in bonds A and C to immunize the pension liability from interest rate risk using a duration-based first-order approximation. If you want your total investment in the two bonds to match the value of the liability, what portfolio of the two bonds should you invest in? Is that portfolio the cheapest way to hedge interest rate risk? Discuss.</t>
  </si>
  <si>
    <t xml:space="preserve">Mdur(Assets)*Assets </t>
  </si>
  <si>
    <t>Mdur(Liability)*Liability</t>
  </si>
  <si>
    <t>Note that the duration of bond C is much larger than A, so it is much cheaper to hedge using that bond.</t>
  </si>
  <si>
    <t xml:space="preserve">In practice, you also want to match assets and liabilities on convexity (and maybe even higher order moments), so it is not always the case you would like to simply use the longest possible bond available... </t>
  </si>
  <si>
    <t xml:space="preserve">If you match the value of assets to the liability, you simply need to set the duration of the bond portfolio equal to the duration of the liability. </t>
  </si>
  <si>
    <t>Consider the information below (yield spreads in basis points; yield in last row in percentage points). Assuming the risk-free rate is 0% and the market risk premium is 6%, what according to the CAPM must be the beta of a typical 10 year Ba1/BB+ rated bond?</t>
  </si>
  <si>
    <t xml:space="preserve">Note also that if the default risk were completely idiosyncratic, then the risk of the Ba1 bond is the same as that of the 10 year treasury bond and its expected return would be 2.73%. </t>
  </si>
  <si>
    <t>If the default risk is systematic, it will add to the beta of the bond. The inflation and interest rate risk (common to the 10 year Ba1 and Treasury bond) will add fiurther systematic risk.</t>
  </si>
  <si>
    <t>Long call with strike price 70, short call with strike price 60, long put with strike price 60, short put with strike price 50.</t>
  </si>
  <si>
    <t>Suppose the risk-free rate of interest is a continuously compounded 5% and you are considering to invest in a protective collar on a stock you own that will pay no dividend over the life of call and put options with half a year to expiration. What is the upside potential that you approximately have to give up to hedge against a 6$ decrease in the stock price (relative to its current value)? To answer this question, use the information in the following table.</t>
  </si>
  <si>
    <t>Mdur(Assets)*Assets = Mdur(Liability)*Liability, with Assets=Liability, implies Mdur(Assets)=Mdur(Liability)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</si>
</sst>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000"/>
    <numFmt numFmtId="166" formatCode="0.000000"/>
    <numFmt numFmtId="167" formatCode="0.000000000000000%"/>
    <numFmt numFmtId="168" formatCode="0.000%"/>
    <numFmt numFmtId="169" formatCode="0.00000000"/>
    <numFmt numFmtId="170" formatCode="0.0"/>
    <numFmt numFmtId="171" formatCode="0.0%"/>
  </numFmts>
  <fonts count="6" x14ac:knownFonts="1">
    <font>
      <sz val="11"/>
      <color theme="1"/>
      <name val="Calibri"/>
      <family val="2"/>
      <scheme val="minor"/>
    </font>
    <font>
      <sz val="12"/>
      <color rgb="FF000000"/>
      <name val="Times New Roman"/>
      <family val="1"/>
    </font>
    <font>
      <b/>
      <i/>
      <sz val="12"/>
      <color rgb="FF000000"/>
      <name val="Times New Roman"/>
      <family val="1"/>
    </font>
    <font>
      <sz val="11"/>
      <color theme="1"/>
      <name val="Calibri"/>
      <family val="2"/>
      <scheme val="minor"/>
    </font>
    <font>
      <b/>
      <sz val="11"/>
      <color theme="1"/>
      <name val="Calibri"/>
      <family val="2"/>
      <scheme val="minor"/>
    </font>
    <font>
      <sz val="12"/>
      <color theme="1"/>
      <name val="Times New Roman"/>
      <family val="1"/>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33">
    <xf numFmtId="0" fontId="0" fillId="0" borderId="0" xfId="0"/>
    <xf numFmtId="9" fontId="0" fillId="0" borderId="0" xfId="0" applyNumberFormat="1"/>
    <xf numFmtId="2" fontId="0" fillId="0" borderId="0" xfId="0" applyNumberFormat="1"/>
    <xf numFmtId="164" fontId="0" fillId="0" borderId="0" xfId="0" applyNumberFormat="1"/>
    <xf numFmtId="0" fontId="0" fillId="2" borderId="0" xfId="0" applyFill="1"/>
    <xf numFmtId="166" fontId="0" fillId="0" borderId="0" xfId="0" applyNumberFormat="1"/>
    <xf numFmtId="2" fontId="0" fillId="2" borderId="0" xfId="0" applyNumberFormat="1" applyFill="1"/>
    <xf numFmtId="10" fontId="0" fillId="0" borderId="0" xfId="0" applyNumberFormat="1"/>
    <xf numFmtId="169" fontId="0" fillId="0" borderId="0" xfId="0" applyNumberFormat="1"/>
    <xf numFmtId="170" fontId="0" fillId="0" borderId="0" xfId="0" applyNumberFormat="1"/>
    <xf numFmtId="171" fontId="0" fillId="0" borderId="0" xfId="1" applyNumberFormat="1" applyFont="1"/>
    <xf numFmtId="171" fontId="0" fillId="0" borderId="0" xfId="1" applyNumberFormat="1" applyFont="1" applyBorder="1"/>
    <xf numFmtId="0" fontId="4" fillId="0" borderId="0" xfId="0" applyFont="1"/>
    <xf numFmtId="0" fontId="1" fillId="0" borderId="0" xfId="0" applyFont="1" applyAlignment="1">
      <alignment horizontal="left" vertical="center" wrapText="1"/>
    </xf>
    <xf numFmtId="0" fontId="5" fillId="0" borderId="0" xfId="0" applyFont="1" applyAlignment="1">
      <alignment horizontal="left"/>
    </xf>
    <xf numFmtId="165" fontId="5" fillId="0" borderId="0" xfId="0" applyNumberFormat="1" applyFont="1" applyAlignment="1">
      <alignment horizontal="left"/>
    </xf>
    <xf numFmtId="9" fontId="5" fillId="0" borderId="0" xfId="0" applyNumberFormat="1" applyFont="1" applyAlignment="1">
      <alignment horizontal="left"/>
    </xf>
    <xf numFmtId="2" fontId="5" fillId="0" borderId="0" xfId="0" applyNumberFormat="1" applyFont="1" applyAlignment="1">
      <alignment horizontal="left"/>
    </xf>
    <xf numFmtId="165" fontId="5" fillId="2" borderId="0" xfId="0" applyNumberFormat="1" applyFont="1" applyFill="1" applyAlignment="1">
      <alignment horizontal="left"/>
    </xf>
    <xf numFmtId="167" fontId="5" fillId="0" borderId="0" xfId="0" applyNumberFormat="1" applyFont="1" applyAlignment="1">
      <alignment horizontal="left"/>
    </xf>
    <xf numFmtId="168" fontId="5" fillId="0" borderId="0" xfId="1" applyNumberFormat="1" applyFont="1" applyAlignment="1">
      <alignment horizontal="left"/>
    </xf>
    <xf numFmtId="0" fontId="0" fillId="0" borderId="0" xfId="0" applyAlignment="1">
      <alignment horizontal="left" wrapText="1"/>
    </xf>
    <xf numFmtId="0" fontId="1" fillId="0" borderId="0" xfId="0" applyFont="1" applyAlignment="1">
      <alignment horizontal="center" vertical="center" wrapText="1"/>
    </xf>
    <xf numFmtId="0" fontId="0" fillId="0" borderId="0" xfId="0" applyAlignment="1">
      <alignment horizontal="center" wrapText="1"/>
    </xf>
    <xf numFmtId="0" fontId="1" fillId="0" borderId="0" xfId="0" applyFont="1" applyAlignment="1">
      <alignment horizontal="left" vertical="center"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9" fontId="4" fillId="0" borderId="1" xfId="0" applyNumberFormat="1" applyFont="1" applyBorder="1" applyAlignment="1">
      <alignment horizontal="center"/>
    </xf>
    <xf numFmtId="9" fontId="4" fillId="0" borderId="2" xfId="0" applyNumberFormat="1" applyFont="1" applyBorder="1" applyAlignment="1">
      <alignment horizontal="center"/>
    </xf>
    <xf numFmtId="9" fontId="4" fillId="0" borderId="3" xfId="0" applyNumberFormat="1" applyFont="1" applyBorder="1" applyAlignment="1">
      <alignment horizontal="center"/>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[1]Bonds!$O$40</c:f>
              <c:strCache>
                <c:ptCount val="1"/>
                <c:pt idx="0">
                  <c:v>Actual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[1]Bonds!$N$41:$N$49</c:f>
              <c:numCache>
                <c:formatCode>General</c:formatCode>
                <c:ptCount val="9"/>
                <c:pt idx="0">
                  <c:v>-0.04</c:v>
                </c:pt>
                <c:pt idx="1">
                  <c:v>-3.0000000000000002E-2</c:v>
                </c:pt>
                <c:pt idx="2">
                  <c:v>-2.0000000000000004E-2</c:v>
                </c:pt>
                <c:pt idx="3">
                  <c:v>-1.0000000000000002E-2</c:v>
                </c:pt>
                <c:pt idx="4">
                  <c:v>0</c:v>
                </c:pt>
                <c:pt idx="5">
                  <c:v>9.999999999999995E-3</c:v>
                </c:pt>
                <c:pt idx="6">
                  <c:v>2.0000000000000004E-2</c:v>
                </c:pt>
                <c:pt idx="7">
                  <c:v>0.03</c:v>
                </c:pt>
                <c:pt idx="8">
                  <c:v>3.9999999999999994E-2</c:v>
                </c:pt>
              </c:numCache>
            </c:numRef>
          </c:xVal>
          <c:yVal>
            <c:numRef>
              <c:f>[1]Bonds!$O$41:$O$49</c:f>
              <c:numCache>
                <c:formatCode>General</c:formatCode>
                <c:ptCount val="9"/>
                <c:pt idx="0">
                  <c:v>0.50264533446798931</c:v>
                </c:pt>
                <c:pt idx="1">
                  <c:v>0.35044201923344476</c:v>
                </c:pt>
                <c:pt idx="2">
                  <c:v>0.2177133191113827</c:v>
                </c:pt>
                <c:pt idx="3">
                  <c:v>0.10168278121867735</c:v>
                </c:pt>
                <c:pt idx="4">
                  <c:v>0</c:v>
                </c:pt>
                <c:pt idx="5">
                  <c:v>-8.9328715724342422E-2</c:v>
                </c:pt>
                <c:pt idx="6">
                  <c:v>-0.16799780735046677</c:v>
                </c:pt>
                <c:pt idx="7">
                  <c:v>-0.23745018843401822</c:v>
                </c:pt>
                <c:pt idx="8">
                  <c:v>-0.29891695286679265</c:v>
                </c:pt>
              </c:numCache>
            </c:numRef>
          </c:yVal>
          <c:smooth val="0"/>
          <c:extLst>
            <c:ext xmlns:c16="http://schemas.microsoft.com/office/drawing/2014/chart" uri="{C3380CC4-5D6E-409C-BE32-E72D297353CC}">
              <c16:uniqueId val="{00000000-CA0A-4F7A-822A-ADACCB87A66B}"/>
            </c:ext>
          </c:extLst>
        </c:ser>
        <c:ser>
          <c:idx val="1"/>
          <c:order val="1"/>
          <c:tx>
            <c:strRef>
              <c:f>[1]Bonds!$P$40</c:f>
              <c:strCache>
                <c:ptCount val="1"/>
                <c:pt idx="0">
                  <c:v>Duration</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[1]Bonds!$N$41:$N$49</c:f>
              <c:numCache>
                <c:formatCode>General</c:formatCode>
                <c:ptCount val="9"/>
                <c:pt idx="0">
                  <c:v>-0.04</c:v>
                </c:pt>
                <c:pt idx="1">
                  <c:v>-3.0000000000000002E-2</c:v>
                </c:pt>
                <c:pt idx="2">
                  <c:v>-2.0000000000000004E-2</c:v>
                </c:pt>
                <c:pt idx="3">
                  <c:v>-1.0000000000000002E-2</c:v>
                </c:pt>
                <c:pt idx="4">
                  <c:v>0</c:v>
                </c:pt>
                <c:pt idx="5">
                  <c:v>9.999999999999995E-3</c:v>
                </c:pt>
                <c:pt idx="6">
                  <c:v>2.0000000000000004E-2</c:v>
                </c:pt>
                <c:pt idx="7">
                  <c:v>0.03</c:v>
                </c:pt>
                <c:pt idx="8">
                  <c:v>3.9999999999999994E-2</c:v>
                </c:pt>
              </c:numCache>
            </c:numRef>
          </c:xVal>
          <c:yVal>
            <c:numRef>
              <c:f>[1]Bonds!$P$41:$P$49</c:f>
              <c:numCache>
                <c:formatCode>General</c:formatCode>
                <c:ptCount val="9"/>
                <c:pt idx="0">
                  <c:v>0.380800574275103</c:v>
                </c:pt>
                <c:pt idx="1">
                  <c:v>0.28560043070632724</c:v>
                </c:pt>
                <c:pt idx="2">
                  <c:v>0.19040028713755153</c:v>
                </c:pt>
                <c:pt idx="3">
                  <c:v>9.5200143568775764E-2</c:v>
                </c:pt>
                <c:pt idx="4">
                  <c:v>0</c:v>
                </c:pt>
                <c:pt idx="5">
                  <c:v>-9.5200143568775694E-2</c:v>
                </c:pt>
                <c:pt idx="6">
                  <c:v>-0.19040028713755153</c:v>
                </c:pt>
                <c:pt idx="7">
                  <c:v>-0.28560043070632724</c:v>
                </c:pt>
                <c:pt idx="8">
                  <c:v>-0.38080057427510294</c:v>
                </c:pt>
              </c:numCache>
            </c:numRef>
          </c:yVal>
          <c:smooth val="0"/>
          <c:extLst>
            <c:ext xmlns:c16="http://schemas.microsoft.com/office/drawing/2014/chart" uri="{C3380CC4-5D6E-409C-BE32-E72D297353CC}">
              <c16:uniqueId val="{00000001-CA0A-4F7A-822A-ADACCB87A66B}"/>
            </c:ext>
          </c:extLst>
        </c:ser>
        <c:ser>
          <c:idx val="2"/>
          <c:order val="2"/>
          <c:tx>
            <c:strRef>
              <c:f>[1]Bonds!$Q$40</c:f>
              <c:strCache>
                <c:ptCount val="1"/>
                <c:pt idx="0">
                  <c:v>Duration+Convexity</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[1]Bonds!$N$41:$N$49</c:f>
              <c:numCache>
                <c:formatCode>General</c:formatCode>
                <c:ptCount val="9"/>
                <c:pt idx="0">
                  <c:v>-0.04</c:v>
                </c:pt>
                <c:pt idx="1">
                  <c:v>-3.0000000000000002E-2</c:v>
                </c:pt>
                <c:pt idx="2">
                  <c:v>-2.0000000000000004E-2</c:v>
                </c:pt>
                <c:pt idx="3">
                  <c:v>-1.0000000000000002E-2</c:v>
                </c:pt>
                <c:pt idx="4">
                  <c:v>0</c:v>
                </c:pt>
                <c:pt idx="5">
                  <c:v>9.999999999999995E-3</c:v>
                </c:pt>
                <c:pt idx="6">
                  <c:v>2.0000000000000004E-2</c:v>
                </c:pt>
                <c:pt idx="7">
                  <c:v>0.03</c:v>
                </c:pt>
                <c:pt idx="8">
                  <c:v>3.9999999999999994E-2</c:v>
                </c:pt>
              </c:numCache>
            </c:numRef>
          </c:xVal>
          <c:yVal>
            <c:numRef>
              <c:f>[1]Bonds!$Q$41:$Q$49</c:f>
              <c:numCache>
                <c:formatCode>General</c:formatCode>
                <c:ptCount val="9"/>
                <c:pt idx="0">
                  <c:v>0.47943445876752183</c:v>
                </c:pt>
                <c:pt idx="1">
                  <c:v>0.3410819907333128</c:v>
                </c:pt>
                <c:pt idx="2">
                  <c:v>0.21505875826065624</c:v>
                </c:pt>
                <c:pt idx="3">
                  <c:v>0.10136476134955194</c:v>
                </c:pt>
                <c:pt idx="4">
                  <c:v>0</c:v>
                </c:pt>
                <c:pt idx="5">
                  <c:v>-8.9035525787999531E-2</c:v>
                </c:pt>
                <c:pt idx="6">
                  <c:v>-0.16574181601444682</c:v>
                </c:pt>
                <c:pt idx="7">
                  <c:v>-0.23011887067934167</c:v>
                </c:pt>
                <c:pt idx="8">
                  <c:v>-0.28216668978268417</c:v>
                </c:pt>
              </c:numCache>
            </c:numRef>
          </c:yVal>
          <c:smooth val="0"/>
          <c:extLst>
            <c:ext xmlns:c16="http://schemas.microsoft.com/office/drawing/2014/chart" uri="{C3380CC4-5D6E-409C-BE32-E72D297353CC}">
              <c16:uniqueId val="{00000002-CA0A-4F7A-822A-ADACCB87A66B}"/>
            </c:ext>
          </c:extLst>
        </c:ser>
        <c:dLbls>
          <c:showLegendKey val="0"/>
          <c:showVal val="0"/>
          <c:showCatName val="0"/>
          <c:showSerName val="0"/>
          <c:showPercent val="0"/>
          <c:showBubbleSize val="0"/>
        </c:dLbls>
        <c:axId val="1241747360"/>
        <c:axId val="1241744000"/>
      </c:scatterChart>
      <c:valAx>
        <c:axId val="1241747360"/>
        <c:scaling>
          <c:orientation val="minMax"/>
          <c:max val="4.0000000000000008E-2"/>
          <c:min val="-4.0000000000000008E-2"/>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744000"/>
        <c:crosses val="autoZero"/>
        <c:crossBetween val="midCat"/>
      </c:valAx>
      <c:valAx>
        <c:axId val="1241744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747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1"/>
          <c:order val="0"/>
          <c:tx>
            <c:strRef>
              <c:f>'Exercise 4'!$J$21</c:f>
              <c:strCache>
                <c:ptCount val="1"/>
                <c:pt idx="0">
                  <c:v>Total</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'Exercise 4'!$C$22:$C$62</c:f>
              <c:numCache>
                <c:formatCode>General</c:formatCode>
                <c:ptCount val="41"/>
                <c:pt idx="0">
                  <c:v>40</c:v>
                </c:pt>
                <c:pt idx="1">
                  <c:v>41</c:v>
                </c:pt>
                <c:pt idx="2">
                  <c:v>42</c:v>
                </c:pt>
                <c:pt idx="3">
                  <c:v>43</c:v>
                </c:pt>
                <c:pt idx="4">
                  <c:v>44</c:v>
                </c:pt>
                <c:pt idx="5">
                  <c:v>45</c:v>
                </c:pt>
                <c:pt idx="6">
                  <c:v>46</c:v>
                </c:pt>
                <c:pt idx="7">
                  <c:v>47</c:v>
                </c:pt>
                <c:pt idx="8">
                  <c:v>48</c:v>
                </c:pt>
                <c:pt idx="9">
                  <c:v>49</c:v>
                </c:pt>
                <c:pt idx="10">
                  <c:v>50</c:v>
                </c:pt>
                <c:pt idx="11">
                  <c:v>51</c:v>
                </c:pt>
                <c:pt idx="12">
                  <c:v>52</c:v>
                </c:pt>
                <c:pt idx="13">
                  <c:v>53</c:v>
                </c:pt>
                <c:pt idx="14">
                  <c:v>54</c:v>
                </c:pt>
                <c:pt idx="15">
                  <c:v>55</c:v>
                </c:pt>
                <c:pt idx="16">
                  <c:v>56</c:v>
                </c:pt>
                <c:pt idx="17">
                  <c:v>57</c:v>
                </c:pt>
                <c:pt idx="18">
                  <c:v>58</c:v>
                </c:pt>
                <c:pt idx="19">
                  <c:v>59</c:v>
                </c:pt>
                <c:pt idx="20">
                  <c:v>60</c:v>
                </c:pt>
                <c:pt idx="21">
                  <c:v>61</c:v>
                </c:pt>
                <c:pt idx="22">
                  <c:v>62</c:v>
                </c:pt>
                <c:pt idx="23">
                  <c:v>63</c:v>
                </c:pt>
                <c:pt idx="24">
                  <c:v>64</c:v>
                </c:pt>
                <c:pt idx="25">
                  <c:v>65</c:v>
                </c:pt>
                <c:pt idx="26">
                  <c:v>66</c:v>
                </c:pt>
                <c:pt idx="27">
                  <c:v>67</c:v>
                </c:pt>
                <c:pt idx="28">
                  <c:v>68</c:v>
                </c:pt>
                <c:pt idx="29">
                  <c:v>69</c:v>
                </c:pt>
                <c:pt idx="30">
                  <c:v>70</c:v>
                </c:pt>
                <c:pt idx="31">
                  <c:v>71</c:v>
                </c:pt>
                <c:pt idx="32">
                  <c:v>72</c:v>
                </c:pt>
                <c:pt idx="33">
                  <c:v>73</c:v>
                </c:pt>
                <c:pt idx="34">
                  <c:v>74</c:v>
                </c:pt>
                <c:pt idx="35">
                  <c:v>75</c:v>
                </c:pt>
                <c:pt idx="36">
                  <c:v>76</c:v>
                </c:pt>
                <c:pt idx="37">
                  <c:v>77</c:v>
                </c:pt>
                <c:pt idx="38">
                  <c:v>78</c:v>
                </c:pt>
                <c:pt idx="39">
                  <c:v>79</c:v>
                </c:pt>
                <c:pt idx="40">
                  <c:v>80</c:v>
                </c:pt>
              </c:numCache>
            </c:numRef>
          </c:xVal>
          <c:yVal>
            <c:numRef>
              <c:f>'Exercise 4'!$J$22:$J$62</c:f>
              <c:numCache>
                <c:formatCode>General</c:formatCode>
                <c:ptCount val="41"/>
                <c:pt idx="0">
                  <c:v>10</c:v>
                </c:pt>
                <c:pt idx="1">
                  <c:v>10</c:v>
                </c:pt>
                <c:pt idx="2">
                  <c:v>10</c:v>
                </c:pt>
                <c:pt idx="3">
                  <c:v>10</c:v>
                </c:pt>
                <c:pt idx="4">
                  <c:v>10</c:v>
                </c:pt>
                <c:pt idx="5">
                  <c:v>10</c:v>
                </c:pt>
                <c:pt idx="6">
                  <c:v>10</c:v>
                </c:pt>
                <c:pt idx="7">
                  <c:v>10</c:v>
                </c:pt>
                <c:pt idx="8">
                  <c:v>10</c:v>
                </c:pt>
                <c:pt idx="9">
                  <c:v>10</c:v>
                </c:pt>
                <c:pt idx="10">
                  <c:v>10</c:v>
                </c:pt>
                <c:pt idx="11">
                  <c:v>9</c:v>
                </c:pt>
                <c:pt idx="12">
                  <c:v>8</c:v>
                </c:pt>
                <c:pt idx="13">
                  <c:v>7</c:v>
                </c:pt>
                <c:pt idx="14">
                  <c:v>6</c:v>
                </c:pt>
                <c:pt idx="15">
                  <c:v>5</c:v>
                </c:pt>
                <c:pt idx="16">
                  <c:v>4</c:v>
                </c:pt>
                <c:pt idx="17">
                  <c:v>3</c:v>
                </c:pt>
                <c:pt idx="18">
                  <c:v>2</c:v>
                </c:pt>
                <c:pt idx="19">
                  <c:v>1</c:v>
                </c:pt>
                <c:pt idx="20">
                  <c:v>0</c:v>
                </c:pt>
                <c:pt idx="21">
                  <c:v>1</c:v>
                </c:pt>
                <c:pt idx="22">
                  <c:v>2</c:v>
                </c:pt>
                <c:pt idx="23">
                  <c:v>3</c:v>
                </c:pt>
                <c:pt idx="24">
                  <c:v>4</c:v>
                </c:pt>
                <c:pt idx="25">
                  <c:v>5</c:v>
                </c:pt>
                <c:pt idx="26">
                  <c:v>6</c:v>
                </c:pt>
                <c:pt idx="27">
                  <c:v>7</c:v>
                </c:pt>
                <c:pt idx="28">
                  <c:v>8</c:v>
                </c:pt>
                <c:pt idx="29">
                  <c:v>9</c:v>
                </c:pt>
                <c:pt idx="30">
                  <c:v>10</c:v>
                </c:pt>
                <c:pt idx="31">
                  <c:v>10</c:v>
                </c:pt>
                <c:pt idx="32">
                  <c:v>10</c:v>
                </c:pt>
                <c:pt idx="33">
                  <c:v>10</c:v>
                </c:pt>
                <c:pt idx="34">
                  <c:v>10</c:v>
                </c:pt>
                <c:pt idx="35">
                  <c:v>10</c:v>
                </c:pt>
                <c:pt idx="36">
                  <c:v>10</c:v>
                </c:pt>
                <c:pt idx="37">
                  <c:v>10</c:v>
                </c:pt>
                <c:pt idx="38">
                  <c:v>10</c:v>
                </c:pt>
                <c:pt idx="39">
                  <c:v>10</c:v>
                </c:pt>
                <c:pt idx="40">
                  <c:v>10</c:v>
                </c:pt>
              </c:numCache>
            </c:numRef>
          </c:yVal>
          <c:smooth val="0"/>
          <c:extLst>
            <c:ext xmlns:c16="http://schemas.microsoft.com/office/drawing/2014/chart" uri="{C3380CC4-5D6E-409C-BE32-E72D297353CC}">
              <c16:uniqueId val="{00000002-EAB2-4418-9686-CE5E61CEA75F}"/>
            </c:ext>
          </c:extLst>
        </c:ser>
        <c:dLbls>
          <c:showLegendKey val="0"/>
          <c:showVal val="0"/>
          <c:showCatName val="0"/>
          <c:showSerName val="0"/>
          <c:showPercent val="0"/>
          <c:showBubbleSize val="0"/>
        </c:dLbls>
        <c:axId val="1830416591"/>
        <c:axId val="1830420431"/>
      </c:scatterChart>
      <c:valAx>
        <c:axId val="1830416591"/>
        <c:scaling>
          <c:orientation val="minMax"/>
          <c:max val="80"/>
          <c:min val="4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1830420431"/>
        <c:crosses val="autoZero"/>
        <c:crossBetween val="midCat"/>
      </c:valAx>
      <c:valAx>
        <c:axId val="18304204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183041659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457200</xdr:colOff>
      <xdr:row>43</xdr:row>
      <xdr:rowOff>104775</xdr:rowOff>
    </xdr:to>
    <xdr:pic>
      <xdr:nvPicPr>
        <xdr:cNvPr id="2" name="Picture 1">
          <a:extLst>
            <a:ext uri="{FF2B5EF4-FFF2-40B4-BE49-F238E27FC236}">
              <a16:creationId xmlns:a16="http://schemas.microsoft.com/office/drawing/2014/main" id="{D9921771-D9B3-1124-0AD8-6634818A4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5943600" cy="810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10</xdr:col>
      <xdr:colOff>457200</xdr:colOff>
      <xdr:row>63</xdr:row>
      <xdr:rowOff>12700</xdr:rowOff>
    </xdr:to>
    <xdr:pic>
      <xdr:nvPicPr>
        <xdr:cNvPr id="7" name="Picture 6">
          <a:extLst>
            <a:ext uri="{FF2B5EF4-FFF2-40B4-BE49-F238E27FC236}">
              <a16:creationId xmlns:a16="http://schemas.microsoft.com/office/drawing/2014/main" id="{CC8E044B-493F-FAFF-7CC5-FAFAF38668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8286750"/>
          <a:ext cx="5943600" cy="3327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4</xdr:row>
      <xdr:rowOff>76200</xdr:rowOff>
    </xdr:from>
    <xdr:to>
      <xdr:col>9</xdr:col>
      <xdr:colOff>161925</xdr:colOff>
      <xdr:row>10</xdr:row>
      <xdr:rowOff>95250</xdr:rowOff>
    </xdr:to>
    <xdr:pic>
      <xdr:nvPicPr>
        <xdr:cNvPr id="2" name="Picture 1">
          <a:extLst>
            <a:ext uri="{FF2B5EF4-FFF2-40B4-BE49-F238E27FC236}">
              <a16:creationId xmlns:a16="http://schemas.microsoft.com/office/drawing/2014/main" id="{7D04D327-C224-7B68-10D6-830E4E7D2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1390650"/>
          <a:ext cx="5724525"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0</xdr:rowOff>
    </xdr:from>
    <xdr:to>
      <xdr:col>8</xdr:col>
      <xdr:colOff>266700</xdr:colOff>
      <xdr:row>23</xdr:row>
      <xdr:rowOff>76200</xdr:rowOff>
    </xdr:to>
    <xdr:graphicFrame macro="">
      <xdr:nvGraphicFramePr>
        <xdr:cNvPr id="3" name="Chart 2">
          <a:extLst>
            <a:ext uri="{FF2B5EF4-FFF2-40B4-BE49-F238E27FC236}">
              <a16:creationId xmlns:a16="http://schemas.microsoft.com/office/drawing/2014/main" id="{3D44C048-16F9-4E23-B910-32EDA46E30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2</xdr:row>
      <xdr:rowOff>161925</xdr:rowOff>
    </xdr:from>
    <xdr:to>
      <xdr:col>8</xdr:col>
      <xdr:colOff>368300</xdr:colOff>
      <xdr:row>19</xdr:row>
      <xdr:rowOff>29717</xdr:rowOff>
    </xdr:to>
    <xdr:pic>
      <xdr:nvPicPr>
        <xdr:cNvPr id="2" name="Picture 1" descr="Image result for corporate bond spread by rating">
          <a:extLst>
            <a:ext uri="{FF2B5EF4-FFF2-40B4-BE49-F238E27FC236}">
              <a16:creationId xmlns:a16="http://schemas.microsoft.com/office/drawing/2014/main" id="{84837868-DF77-4643-98AA-350F766E5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542925"/>
          <a:ext cx="4587875" cy="310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9525</xdr:colOff>
      <xdr:row>0</xdr:row>
      <xdr:rowOff>176212</xdr:rowOff>
    </xdr:from>
    <xdr:to>
      <xdr:col>25</xdr:col>
      <xdr:colOff>200025</xdr:colOff>
      <xdr:row>16</xdr:row>
      <xdr:rowOff>0</xdr:rowOff>
    </xdr:to>
    <xdr:graphicFrame macro="">
      <xdr:nvGraphicFramePr>
        <xdr:cNvPr id="2" name="Chart 1">
          <a:extLst>
            <a:ext uri="{FF2B5EF4-FFF2-40B4-BE49-F238E27FC236}">
              <a16:creationId xmlns:a16="http://schemas.microsoft.com/office/drawing/2014/main" id="{6FD6B3AA-DD20-536E-9D6A-ADC027619B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D-Drive%20Uni/Teaching/Nova/Investments/Spring%202025/Lectures%20MFB/Examples%20clas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Class 1"/>
      <sheetName val="Tesla"/>
      <sheetName val="Capital allocation"/>
      <sheetName val="Two asset portfolio"/>
      <sheetName val="Three asset portfolio"/>
      <sheetName val="Marginal risk"/>
      <sheetName val="Berkshire Hathaway"/>
      <sheetName val="CAPM test"/>
      <sheetName val="Asset Pricing"/>
      <sheetName val="Bonds"/>
      <sheetName val="Duration GP check"/>
      <sheetName val="Exercise options"/>
      <sheetName val="SP500 options"/>
      <sheetName val="Apple"/>
    </sheetNames>
    <sheetDataSet>
      <sheetData sheetId="0"/>
      <sheetData sheetId="1"/>
      <sheetData sheetId="2"/>
      <sheetData sheetId="3">
        <row r="4">
          <cell r="D4">
            <v>0.08</v>
          </cell>
        </row>
      </sheetData>
      <sheetData sheetId="4">
        <row r="4">
          <cell r="D4">
            <v>0.08</v>
          </cell>
        </row>
      </sheetData>
      <sheetData sheetId="5"/>
      <sheetData sheetId="6"/>
      <sheetData sheetId="7"/>
      <sheetData sheetId="8"/>
      <sheetData sheetId="9">
        <row r="40">
          <cell r="O40" t="str">
            <v>Actual</v>
          </cell>
          <cell r="P40" t="str">
            <v>Duration</v>
          </cell>
          <cell r="Q40" t="str">
            <v>Duration+Convexity</v>
          </cell>
        </row>
        <row r="41">
          <cell r="N41">
            <v>-0.04</v>
          </cell>
          <cell r="O41">
            <v>0.50264533446798931</v>
          </cell>
          <cell r="P41">
            <v>0.380800574275103</v>
          </cell>
          <cell r="Q41">
            <v>0.47943445876752183</v>
          </cell>
        </row>
        <row r="42">
          <cell r="N42">
            <v>-3.0000000000000002E-2</v>
          </cell>
          <cell r="O42">
            <v>0.35044201923344476</v>
          </cell>
          <cell r="P42">
            <v>0.28560043070632724</v>
          </cell>
          <cell r="Q42">
            <v>0.3410819907333128</v>
          </cell>
        </row>
        <row r="43">
          <cell r="N43">
            <v>-2.0000000000000004E-2</v>
          </cell>
          <cell r="O43">
            <v>0.2177133191113827</v>
          </cell>
          <cell r="P43">
            <v>0.19040028713755153</v>
          </cell>
          <cell r="Q43">
            <v>0.21505875826065624</v>
          </cell>
        </row>
        <row r="44">
          <cell r="N44">
            <v>-1.0000000000000002E-2</v>
          </cell>
          <cell r="O44">
            <v>0.10168278121867735</v>
          </cell>
          <cell r="P44">
            <v>9.5200143568775764E-2</v>
          </cell>
          <cell r="Q44">
            <v>0.10136476134955194</v>
          </cell>
        </row>
        <row r="45">
          <cell r="N45">
            <v>0</v>
          </cell>
          <cell r="O45">
            <v>0</v>
          </cell>
          <cell r="P45">
            <v>0</v>
          </cell>
          <cell r="Q45">
            <v>0</v>
          </cell>
        </row>
        <row r="46">
          <cell r="N46">
            <v>9.999999999999995E-3</v>
          </cell>
          <cell r="O46">
            <v>-8.9328715724342422E-2</v>
          </cell>
          <cell r="P46">
            <v>-9.5200143568775694E-2</v>
          </cell>
          <cell r="Q46">
            <v>-8.9035525787999531E-2</v>
          </cell>
        </row>
        <row r="47">
          <cell r="N47">
            <v>2.0000000000000004E-2</v>
          </cell>
          <cell r="O47">
            <v>-0.16799780735046677</v>
          </cell>
          <cell r="P47">
            <v>-0.19040028713755153</v>
          </cell>
          <cell r="Q47">
            <v>-0.16574181601444682</v>
          </cell>
        </row>
        <row r="48">
          <cell r="N48">
            <v>0.03</v>
          </cell>
          <cell r="O48">
            <v>-0.23745018843401822</v>
          </cell>
          <cell r="P48">
            <v>-0.28560043070632724</v>
          </cell>
          <cell r="Q48">
            <v>-0.23011887067934167</v>
          </cell>
        </row>
        <row r="49">
          <cell r="N49">
            <v>3.9999999999999994E-2</v>
          </cell>
          <cell r="O49">
            <v>-0.29891695286679265</v>
          </cell>
          <cell r="P49">
            <v>-0.38080057427510294</v>
          </cell>
          <cell r="Q49">
            <v>-0.28216668978268417</v>
          </cell>
        </row>
      </sheetData>
      <sheetData sheetId="10"/>
      <sheetData sheetId="11">
        <row r="15">
          <cell r="M15" t="str">
            <v>A</v>
          </cell>
        </row>
      </sheetData>
      <sheetData sheetId="12">
        <row r="5">
          <cell r="AI5" t="str">
            <v>Long 5850 Straddle</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2C23-1FE8-4FE7-95C2-29268A81AAB8}">
  <dimension ref="A1"/>
  <sheetViews>
    <sheetView topLeftCell="A49" workbookViewId="0">
      <selection activeCell="M55" sqref="M55"/>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713F-80CB-4D89-8B51-9243E10F24D0}">
  <dimension ref="A2:K52"/>
  <sheetViews>
    <sheetView workbookViewId="0">
      <selection activeCell="A11" sqref="A11:XFD11"/>
    </sheetView>
  </sheetViews>
  <sheetFormatPr defaultRowHeight="14.5" x14ac:dyDescent="0.35"/>
  <cols>
    <col min="2" max="2" width="17.81640625" bestFit="1" customWidth="1"/>
    <col min="3" max="3" width="10.54296875" bestFit="1" customWidth="1"/>
  </cols>
  <sheetData>
    <row r="2" spans="2:11" ht="24" customHeight="1" x14ac:dyDescent="0.35">
      <c r="B2" s="22" t="s">
        <v>142</v>
      </c>
      <c r="C2" s="22"/>
      <c r="D2" s="22"/>
      <c r="E2" s="22"/>
      <c r="F2" s="22"/>
      <c r="G2" s="22"/>
      <c r="H2" s="22"/>
      <c r="I2" s="22"/>
      <c r="J2" s="22"/>
      <c r="K2" s="22"/>
    </row>
    <row r="3" spans="2:11" ht="57.75" customHeight="1" x14ac:dyDescent="0.35">
      <c r="B3" s="22"/>
      <c r="C3" s="22"/>
      <c r="D3" s="22"/>
      <c r="E3" s="22"/>
      <c r="F3" s="22"/>
      <c r="G3" s="22"/>
      <c r="H3" s="22"/>
      <c r="I3" s="22"/>
      <c r="J3" s="22"/>
      <c r="K3" s="22"/>
    </row>
    <row r="17" spans="1:8" x14ac:dyDescent="0.35">
      <c r="A17" t="s">
        <v>143</v>
      </c>
    </row>
    <row r="18" spans="1:8" x14ac:dyDescent="0.35">
      <c r="B18">
        <v>0</v>
      </c>
      <c r="C18">
        <v>1</v>
      </c>
      <c r="D18">
        <v>2</v>
      </c>
      <c r="E18">
        <v>3</v>
      </c>
      <c r="F18">
        <v>4</v>
      </c>
      <c r="G18">
        <v>5</v>
      </c>
      <c r="H18">
        <v>6</v>
      </c>
    </row>
    <row r="19" spans="1:8" x14ac:dyDescent="0.35">
      <c r="A19" t="s">
        <v>9</v>
      </c>
      <c r="C19" s="1">
        <v>0.04</v>
      </c>
      <c r="D19" s="7">
        <v>4.2000000000000003E-2</v>
      </c>
      <c r="E19" s="1">
        <v>4.3999999999999997E-2</v>
      </c>
      <c r="F19" s="7">
        <v>4.5999999999999999E-2</v>
      </c>
      <c r="G19" s="1">
        <v>4.8000000000000001E-2</v>
      </c>
      <c r="H19" s="7">
        <v>0.05</v>
      </c>
    </row>
    <row r="20" spans="1:8" x14ac:dyDescent="0.35">
      <c r="A20" t="s">
        <v>10</v>
      </c>
      <c r="C20">
        <v>4</v>
      </c>
      <c r="D20">
        <v>4</v>
      </c>
      <c r="E20">
        <v>4</v>
      </c>
      <c r="F20">
        <v>4</v>
      </c>
      <c r="G20">
        <v>4</v>
      </c>
      <c r="H20">
        <v>104</v>
      </c>
    </row>
    <row r="21" spans="1:8" x14ac:dyDescent="0.35">
      <c r="A21" t="s">
        <v>4</v>
      </c>
      <c r="C21">
        <f>C20/(1+C19)^C18</f>
        <v>3.8461538461538458</v>
      </c>
      <c r="D21">
        <f t="shared" ref="D21:H21" si="0">D20/(1+D19)^D18</f>
        <v>3.6840418359790887</v>
      </c>
      <c r="E21">
        <f t="shared" si="0"/>
        <v>3.5152684419278493</v>
      </c>
      <c r="F21">
        <f t="shared" si="0"/>
        <v>3.3414368147703968</v>
      </c>
      <c r="G21">
        <f t="shared" si="0"/>
        <v>3.1641246062163972</v>
      </c>
      <c r="H21">
        <f t="shared" si="0"/>
        <v>77.606401250209274</v>
      </c>
    </row>
    <row r="22" spans="1:8" x14ac:dyDescent="0.35">
      <c r="A22" t="s">
        <v>5</v>
      </c>
      <c r="B22">
        <f>SUM(C21:H21)</f>
        <v>95.157426795256853</v>
      </c>
    </row>
    <row r="24" spans="1:8" x14ac:dyDescent="0.35">
      <c r="A24" t="s">
        <v>11</v>
      </c>
      <c r="C24" t="s">
        <v>12</v>
      </c>
      <c r="D24" t="s">
        <v>13</v>
      </c>
      <c r="E24" t="s">
        <v>14</v>
      </c>
      <c r="F24" t="s">
        <v>15</v>
      </c>
      <c r="G24" t="s">
        <v>16</v>
      </c>
    </row>
    <row r="25" spans="1:8" x14ac:dyDescent="0.35">
      <c r="C25">
        <f>((1+D19)^D18/(1+$C$19))^(1/(D18-$C$18))-1</f>
        <v>4.4003846153846338E-2</v>
      </c>
      <c r="D25">
        <f t="shared" ref="D25:G25" si="1">((1+E19)^E18/(1+$C$19))^(1/(E18-$C$18))-1</f>
        <v>4.6005765537868282E-2</v>
      </c>
      <c r="E25">
        <f t="shared" si="1"/>
        <v>4.8007682469393353E-2</v>
      </c>
      <c r="F25">
        <f t="shared" si="1"/>
        <v>5.0009596955459035E-2</v>
      </c>
      <c r="G25">
        <f t="shared" si="1"/>
        <v>5.2011509003069945E-2</v>
      </c>
    </row>
    <row r="26" spans="1:8" x14ac:dyDescent="0.35">
      <c r="A26" t="s">
        <v>17</v>
      </c>
      <c r="C26">
        <f>D20/(1+C25)^(D18-1)</f>
        <v>3.8314035094182524</v>
      </c>
      <c r="D26">
        <f t="shared" ref="D26:G26" si="2">E20/(1+D25)^(E18-1)</f>
        <v>3.6558791796049626</v>
      </c>
      <c r="E26">
        <f t="shared" si="2"/>
        <v>3.4750942873612121</v>
      </c>
      <c r="F26">
        <f t="shared" si="2"/>
        <v>3.2906895904650519</v>
      </c>
      <c r="G26">
        <f t="shared" si="2"/>
        <v>80.710657300217662</v>
      </c>
    </row>
    <row r="27" spans="1:8" x14ac:dyDescent="0.35">
      <c r="A27" t="s">
        <v>18</v>
      </c>
      <c r="B27">
        <f>SUM(C26:G26)</f>
        <v>94.963723867067145</v>
      </c>
    </row>
    <row r="28" spans="1:8" x14ac:dyDescent="0.35">
      <c r="A28" t="s">
        <v>6</v>
      </c>
      <c r="B28" s="5">
        <f>(B27+C20)/B22-1</f>
        <v>4.0000000000000258E-2</v>
      </c>
      <c r="C28" t="s">
        <v>29</v>
      </c>
    </row>
    <row r="30" spans="1:8" x14ac:dyDescent="0.35">
      <c r="A30" t="s">
        <v>11</v>
      </c>
      <c r="C30" t="s">
        <v>22</v>
      </c>
      <c r="D30" t="s">
        <v>23</v>
      </c>
      <c r="E30" t="s">
        <v>24</v>
      </c>
      <c r="F30" t="s">
        <v>25</v>
      </c>
    </row>
    <row r="31" spans="1:8" x14ac:dyDescent="0.35">
      <c r="C31">
        <f>((1+E19)^E18/(1+$D$19)^$D$18)^(1/(E18-$D$18))-1</f>
        <v>4.8011523682862878E-2</v>
      </c>
      <c r="D31">
        <f t="shared" ref="D31:F31" si="3">((1+F19)^F18/(1+$D$19)^$D$18)^(1/(F18-$D$18))-1</f>
        <v>5.0015355086372448E-2</v>
      </c>
      <c r="E31">
        <f t="shared" si="3"/>
        <v>5.2019181601333342E-2</v>
      </c>
      <c r="F31">
        <f t="shared" si="3"/>
        <v>5.4023003241752798E-2</v>
      </c>
    </row>
    <row r="32" spans="1:8" x14ac:dyDescent="0.35">
      <c r="A32" t="s">
        <v>26</v>
      </c>
      <c r="C32">
        <f>E20/(1+C31)^(E18-2)</f>
        <v>3.8167519245813502</v>
      </c>
      <c r="D32">
        <f t="shared" ref="D32:F32" si="4">F20/(1+D31)^(F18-2)</f>
        <v>3.6280118017523644</v>
      </c>
      <c r="E32">
        <f t="shared" si="4"/>
        <v>3.4354925889439398</v>
      </c>
      <c r="F32">
        <f t="shared" si="4"/>
        <v>84.262236647032196</v>
      </c>
    </row>
    <row r="33" spans="1:5" x14ac:dyDescent="0.35">
      <c r="A33" t="s">
        <v>18</v>
      </c>
      <c r="B33">
        <f>SUM(C32:G32)</f>
        <v>95.142492962309859</v>
      </c>
    </row>
    <row r="34" spans="1:5" x14ac:dyDescent="0.35">
      <c r="A34" t="s">
        <v>6</v>
      </c>
      <c r="B34" s="5">
        <f>(B33+D20)/B27-1</f>
        <v>4.4003846153845672E-2</v>
      </c>
      <c r="C34" t="s">
        <v>30</v>
      </c>
    </row>
    <row r="36" spans="1:5" x14ac:dyDescent="0.35">
      <c r="A36" t="s">
        <v>11</v>
      </c>
      <c r="C36" t="s">
        <v>27</v>
      </c>
      <c r="D36" t="s">
        <v>19</v>
      </c>
      <c r="E36" t="s">
        <v>28</v>
      </c>
    </row>
    <row r="37" spans="1:5" x14ac:dyDescent="0.35">
      <c r="C37">
        <f>((1+F19)^F18/(1+$E$19)^$E$18)^(1/(F18-$E$18))-1</f>
        <v>5.2023017879330169E-2</v>
      </c>
      <c r="D37">
        <f t="shared" ref="D37:E37" si="5">((1+G19)^G18/(1+$E$19)^$E$18)^(1/(G18-$E$18))-1</f>
        <v>5.4028753973107246E-2</v>
      </c>
      <c r="E37">
        <f t="shared" si="5"/>
        <v>5.6034482758620552E-2</v>
      </c>
    </row>
    <row r="38" spans="1:5" x14ac:dyDescent="0.35">
      <c r="A38" t="s">
        <v>32</v>
      </c>
      <c r="C38">
        <f>F20/(1+C37)^(F18-3)</f>
        <v>3.8021981762939054</v>
      </c>
      <c r="D38">
        <f t="shared" ref="D38:E38" si="6">G20/(1+D37)^(G18-3)</f>
        <v>3.6004358227403226</v>
      </c>
      <c r="E38">
        <f t="shared" si="6"/>
        <v>88.307795017382247</v>
      </c>
    </row>
    <row r="39" spans="1:5" x14ac:dyDescent="0.35">
      <c r="A39" t="s">
        <v>18</v>
      </c>
      <c r="B39">
        <f>SUM(C38:E38)</f>
        <v>95.710429016416469</v>
      </c>
    </row>
    <row r="40" spans="1:5" x14ac:dyDescent="0.35">
      <c r="A40" t="s">
        <v>6</v>
      </c>
      <c r="B40" s="5">
        <f>(B39+E20)/B33-1</f>
        <v>4.8011523682863544E-2</v>
      </c>
      <c r="C40" t="s">
        <v>31</v>
      </c>
    </row>
    <row r="42" spans="1:5" x14ac:dyDescent="0.35">
      <c r="A42" t="s">
        <v>11</v>
      </c>
      <c r="C42" t="s">
        <v>19</v>
      </c>
      <c r="D42" t="s">
        <v>20</v>
      </c>
    </row>
    <row r="43" spans="1:5" x14ac:dyDescent="0.35">
      <c r="C43">
        <f>((1+G19)^G18/(1+$F$19)^$F$18)^(1/(G18-$F$18))-1</f>
        <v>5.6038314106101605E-2</v>
      </c>
      <c r="D43">
        <f>((1+H19)^H18/(1+$F$19)^$F$18)^(1/(H18-$F$18))-1</f>
        <v>5.8045947596049974E-2</v>
      </c>
    </row>
    <row r="44" spans="1:5" x14ac:dyDescent="0.35">
      <c r="A44" t="s">
        <v>21</v>
      </c>
      <c r="C44">
        <f>G20/(1+C43)^(G18-$F$18)</f>
        <v>3.7877413599201235</v>
      </c>
      <c r="D44">
        <f>H20/(1+D43)^(H18-$F$18)</f>
        <v>92.901833016455754</v>
      </c>
    </row>
    <row r="45" spans="1:5" x14ac:dyDescent="0.35">
      <c r="A45" t="s">
        <v>18</v>
      </c>
      <c r="B45">
        <f>SUM(C44:D44)</f>
        <v>96.689574376375873</v>
      </c>
    </row>
    <row r="46" spans="1:5" x14ac:dyDescent="0.35">
      <c r="A46" t="s">
        <v>6</v>
      </c>
      <c r="B46" s="5">
        <f>(B45+F20)/B39-1</f>
        <v>5.2023017879330169E-2</v>
      </c>
      <c r="C46" t="s">
        <v>33</v>
      </c>
    </row>
    <row r="48" spans="1:5" x14ac:dyDescent="0.35">
      <c r="B48" s="8">
        <f>PRODUCT(1+B34,1+B40,1+B46)-1</f>
        <v>0.15104790524615397</v>
      </c>
      <c r="C48" s="8">
        <f>(1+B34)*(1+D31)^2</f>
        <v>1.1510479052461535</v>
      </c>
    </row>
    <row r="51" spans="1:2" x14ac:dyDescent="0.35">
      <c r="A51" t="s">
        <v>2</v>
      </c>
      <c r="B51" t="s">
        <v>34</v>
      </c>
    </row>
    <row r="52" spans="1:2" x14ac:dyDescent="0.35">
      <c r="B52" t="s">
        <v>35</v>
      </c>
    </row>
  </sheetData>
  <mergeCells count="1">
    <mergeCell ref="B2:K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BC9C-DE3D-401C-BA37-132B168E3330}">
  <dimension ref="B2:K26"/>
  <sheetViews>
    <sheetView workbookViewId="0">
      <selection activeCell="J12" sqref="J12:K15"/>
    </sheetView>
  </sheetViews>
  <sheetFormatPr defaultRowHeight="14.5" x14ac:dyDescent="0.35"/>
  <cols>
    <col min="11" max="11" width="17.81640625" bestFit="1" customWidth="1"/>
  </cols>
  <sheetData>
    <row r="2" spans="2:11" x14ac:dyDescent="0.35">
      <c r="B2" t="s">
        <v>144</v>
      </c>
    </row>
    <row r="4" spans="2:11" x14ac:dyDescent="0.35">
      <c r="B4" t="s">
        <v>1</v>
      </c>
      <c r="C4" t="s">
        <v>36</v>
      </c>
    </row>
    <row r="5" spans="2:11" x14ac:dyDescent="0.35">
      <c r="B5" t="s">
        <v>2</v>
      </c>
      <c r="C5" t="s">
        <v>37</v>
      </c>
    </row>
    <row r="6" spans="2:11" x14ac:dyDescent="0.35">
      <c r="B6" t="s">
        <v>7</v>
      </c>
      <c r="C6" t="s">
        <v>38</v>
      </c>
    </row>
    <row r="7" spans="2:11" x14ac:dyDescent="0.35">
      <c r="B7" t="s">
        <v>8</v>
      </c>
      <c r="C7" t="s">
        <v>39</v>
      </c>
    </row>
    <row r="12" spans="2:11" x14ac:dyDescent="0.35">
      <c r="J12" t="s">
        <v>150</v>
      </c>
    </row>
    <row r="13" spans="2:11" x14ac:dyDescent="0.35">
      <c r="J13" t="s">
        <v>145</v>
      </c>
      <c r="K13" t="s">
        <v>146</v>
      </c>
    </row>
    <row r="14" spans="2:11" x14ac:dyDescent="0.35">
      <c r="J14" t="s">
        <v>147</v>
      </c>
      <c r="K14" t="s">
        <v>148</v>
      </c>
    </row>
    <row r="15" spans="2:11" x14ac:dyDescent="0.35">
      <c r="J15" t="s">
        <v>149</v>
      </c>
      <c r="K15" t="s">
        <v>148</v>
      </c>
    </row>
    <row r="26" spans="2:2" x14ac:dyDescent="0.35">
      <c r="B26" t="s">
        <v>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2F3FF-F6A9-4338-9002-3B5972D625DB}">
  <dimension ref="B2:D34"/>
  <sheetViews>
    <sheetView topLeftCell="A7" workbookViewId="0">
      <selection activeCell="B33" sqref="B33"/>
    </sheetView>
  </sheetViews>
  <sheetFormatPr defaultRowHeight="14.5" x14ac:dyDescent="0.35"/>
  <sheetData>
    <row r="2" spans="2:2" x14ac:dyDescent="0.35">
      <c r="B2" t="s">
        <v>172</v>
      </c>
    </row>
    <row r="21" spans="2:4" x14ac:dyDescent="0.35">
      <c r="B21" t="s">
        <v>1</v>
      </c>
      <c r="C21" t="s">
        <v>42</v>
      </c>
    </row>
    <row r="22" spans="2:4" x14ac:dyDescent="0.35">
      <c r="B22" t="s">
        <v>2</v>
      </c>
      <c r="C22" t="s">
        <v>43</v>
      </c>
    </row>
    <row r="23" spans="2:4" x14ac:dyDescent="0.35">
      <c r="B23" t="s">
        <v>7</v>
      </c>
      <c r="C23" t="s">
        <v>44</v>
      </c>
    </row>
    <row r="24" spans="2:4" x14ac:dyDescent="0.35">
      <c r="B24" t="s">
        <v>8</v>
      </c>
      <c r="C24" t="s">
        <v>45</v>
      </c>
    </row>
    <row r="27" spans="2:4" x14ac:dyDescent="0.35">
      <c r="C27" t="s">
        <v>41</v>
      </c>
      <c r="D27" t="s">
        <v>46</v>
      </c>
    </row>
    <row r="28" spans="2:4" x14ac:dyDescent="0.35">
      <c r="B28" t="s">
        <v>40</v>
      </c>
      <c r="C28">
        <f>(248+273)/10000</f>
        <v>5.21E-2</v>
      </c>
      <c r="D28">
        <f>C28/6%</f>
        <v>0.8683333333333334</v>
      </c>
    </row>
    <row r="29" spans="2:4" x14ac:dyDescent="0.35">
      <c r="D29" t="s">
        <v>47</v>
      </c>
    </row>
    <row r="33" spans="2:2" x14ac:dyDescent="0.35">
      <c r="B33" t="s">
        <v>173</v>
      </c>
    </row>
    <row r="34" spans="2:2" x14ac:dyDescent="0.35">
      <c r="B34" t="s">
        <v>174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DDFEC-0133-433A-9B8D-028D5196D85C}">
  <dimension ref="B3:J62"/>
  <sheetViews>
    <sheetView workbookViewId="0">
      <selection activeCell="C9" sqref="C9"/>
    </sheetView>
  </sheetViews>
  <sheetFormatPr defaultRowHeight="14.5" x14ac:dyDescent="0.35"/>
  <sheetData>
    <row r="3" spans="2:3" x14ac:dyDescent="0.35">
      <c r="B3" t="s">
        <v>151</v>
      </c>
    </row>
    <row r="5" spans="2:3" x14ac:dyDescent="0.35">
      <c r="B5" t="s">
        <v>1</v>
      </c>
      <c r="C5" t="s">
        <v>56</v>
      </c>
    </row>
    <row r="6" spans="2:3" x14ac:dyDescent="0.35">
      <c r="B6" t="s">
        <v>2</v>
      </c>
      <c r="C6" t="s">
        <v>54</v>
      </c>
    </row>
    <row r="7" spans="2:3" x14ac:dyDescent="0.35">
      <c r="B7" t="s">
        <v>7</v>
      </c>
      <c r="C7" t="s">
        <v>55</v>
      </c>
    </row>
    <row r="8" spans="2:3" x14ac:dyDescent="0.35">
      <c r="B8" t="s">
        <v>8</v>
      </c>
      <c r="C8" t="s">
        <v>175</v>
      </c>
    </row>
    <row r="20" spans="3:10" x14ac:dyDescent="0.35">
      <c r="D20" t="s">
        <v>49</v>
      </c>
      <c r="F20" t="s">
        <v>50</v>
      </c>
      <c r="H20" t="s">
        <v>51</v>
      </c>
    </row>
    <row r="21" spans="3:10" x14ac:dyDescent="0.35">
      <c r="D21">
        <v>70</v>
      </c>
      <c r="E21">
        <v>60</v>
      </c>
      <c r="F21">
        <v>60</v>
      </c>
      <c r="G21">
        <v>50</v>
      </c>
      <c r="H21" t="s">
        <v>52</v>
      </c>
      <c r="I21" t="s">
        <v>53</v>
      </c>
      <c r="J21" t="s">
        <v>51</v>
      </c>
    </row>
    <row r="22" spans="3:10" x14ac:dyDescent="0.35">
      <c r="C22">
        <v>40</v>
      </c>
      <c r="D22">
        <f>MAX(0,$C22-D$21)</f>
        <v>0</v>
      </c>
      <c r="E22">
        <f t="shared" ref="E22:E37" si="0">MAX(0,$C22-E$21)</f>
        <v>0</v>
      </c>
      <c r="F22">
        <f>MAX(F$21-$C22,0)</f>
        <v>20</v>
      </c>
      <c r="G22">
        <f>MAX(G$21-$C22,0)</f>
        <v>10</v>
      </c>
      <c r="H22">
        <f t="shared" ref="H22:H42" si="1">1*E22-1*D22</f>
        <v>0</v>
      </c>
      <c r="I22">
        <f>1*F22-1*G22</f>
        <v>10</v>
      </c>
      <c r="J22">
        <f>SUM(H22:I22)</f>
        <v>10</v>
      </c>
    </row>
    <row r="23" spans="3:10" x14ac:dyDescent="0.35">
      <c r="C23">
        <v>41</v>
      </c>
      <c r="D23">
        <f t="shared" ref="D23:E43" si="2">MAX(0,$C23-D$21)</f>
        <v>0</v>
      </c>
      <c r="E23">
        <f t="shared" si="0"/>
        <v>0</v>
      </c>
      <c r="F23">
        <f t="shared" ref="F23:G43" si="3">MAX(F$21-$C23,0)</f>
        <v>19</v>
      </c>
      <c r="G23">
        <f t="shared" si="3"/>
        <v>9</v>
      </c>
      <c r="H23">
        <f t="shared" si="1"/>
        <v>0</v>
      </c>
      <c r="I23">
        <f t="shared" ref="I23:I62" si="4">1*F23-1*G23</f>
        <v>10</v>
      </c>
      <c r="J23">
        <f t="shared" ref="J23:J42" si="5">SUM(H23:I23)</f>
        <v>10</v>
      </c>
    </row>
    <row r="24" spans="3:10" x14ac:dyDescent="0.35">
      <c r="C24">
        <v>42</v>
      </c>
      <c r="D24">
        <f t="shared" si="2"/>
        <v>0</v>
      </c>
      <c r="E24">
        <f t="shared" si="0"/>
        <v>0</v>
      </c>
      <c r="F24">
        <f t="shared" si="3"/>
        <v>18</v>
      </c>
      <c r="G24">
        <f t="shared" si="3"/>
        <v>8</v>
      </c>
      <c r="H24">
        <f t="shared" si="1"/>
        <v>0</v>
      </c>
      <c r="I24">
        <f t="shared" si="4"/>
        <v>10</v>
      </c>
      <c r="J24">
        <f t="shared" si="5"/>
        <v>10</v>
      </c>
    </row>
    <row r="25" spans="3:10" x14ac:dyDescent="0.35">
      <c r="C25">
        <v>43</v>
      </c>
      <c r="D25">
        <f t="shared" si="2"/>
        <v>0</v>
      </c>
      <c r="E25">
        <f t="shared" si="0"/>
        <v>0</v>
      </c>
      <c r="F25">
        <f t="shared" si="3"/>
        <v>17</v>
      </c>
      <c r="G25">
        <f t="shared" si="3"/>
        <v>7</v>
      </c>
      <c r="H25">
        <f t="shared" si="1"/>
        <v>0</v>
      </c>
      <c r="I25">
        <f t="shared" si="4"/>
        <v>10</v>
      </c>
      <c r="J25">
        <f t="shared" si="5"/>
        <v>10</v>
      </c>
    </row>
    <row r="26" spans="3:10" x14ac:dyDescent="0.35">
      <c r="C26">
        <v>44</v>
      </c>
      <c r="D26">
        <f t="shared" si="2"/>
        <v>0</v>
      </c>
      <c r="E26">
        <f t="shared" si="0"/>
        <v>0</v>
      </c>
      <c r="F26">
        <f t="shared" si="3"/>
        <v>16</v>
      </c>
      <c r="G26">
        <f t="shared" si="3"/>
        <v>6</v>
      </c>
      <c r="H26">
        <f t="shared" si="1"/>
        <v>0</v>
      </c>
      <c r="I26">
        <f t="shared" si="4"/>
        <v>10</v>
      </c>
      <c r="J26">
        <f t="shared" si="5"/>
        <v>10</v>
      </c>
    </row>
    <row r="27" spans="3:10" x14ac:dyDescent="0.35">
      <c r="C27">
        <v>45</v>
      </c>
      <c r="D27">
        <f t="shared" si="2"/>
        <v>0</v>
      </c>
      <c r="E27">
        <f t="shared" si="0"/>
        <v>0</v>
      </c>
      <c r="F27">
        <f t="shared" si="3"/>
        <v>15</v>
      </c>
      <c r="G27">
        <f t="shared" si="3"/>
        <v>5</v>
      </c>
      <c r="H27">
        <f t="shared" si="1"/>
        <v>0</v>
      </c>
      <c r="I27">
        <f t="shared" si="4"/>
        <v>10</v>
      </c>
      <c r="J27">
        <f t="shared" si="5"/>
        <v>10</v>
      </c>
    </row>
    <row r="28" spans="3:10" x14ac:dyDescent="0.35">
      <c r="C28">
        <v>46</v>
      </c>
      <c r="D28">
        <f t="shared" si="2"/>
        <v>0</v>
      </c>
      <c r="E28">
        <f t="shared" si="0"/>
        <v>0</v>
      </c>
      <c r="F28">
        <f t="shared" si="3"/>
        <v>14</v>
      </c>
      <c r="G28">
        <f t="shared" si="3"/>
        <v>4</v>
      </c>
      <c r="H28">
        <f t="shared" si="1"/>
        <v>0</v>
      </c>
      <c r="I28">
        <f t="shared" si="4"/>
        <v>10</v>
      </c>
      <c r="J28">
        <f t="shared" si="5"/>
        <v>10</v>
      </c>
    </row>
    <row r="29" spans="3:10" x14ac:dyDescent="0.35">
      <c r="C29">
        <v>47</v>
      </c>
      <c r="D29">
        <f t="shared" si="2"/>
        <v>0</v>
      </c>
      <c r="E29">
        <f t="shared" si="0"/>
        <v>0</v>
      </c>
      <c r="F29">
        <f t="shared" si="3"/>
        <v>13</v>
      </c>
      <c r="G29">
        <f t="shared" si="3"/>
        <v>3</v>
      </c>
      <c r="H29">
        <f t="shared" si="1"/>
        <v>0</v>
      </c>
      <c r="I29">
        <f t="shared" si="4"/>
        <v>10</v>
      </c>
      <c r="J29">
        <f t="shared" si="5"/>
        <v>10</v>
      </c>
    </row>
    <row r="30" spans="3:10" x14ac:dyDescent="0.35">
      <c r="C30">
        <v>48</v>
      </c>
      <c r="D30">
        <f t="shared" si="2"/>
        <v>0</v>
      </c>
      <c r="E30">
        <f t="shared" si="0"/>
        <v>0</v>
      </c>
      <c r="F30">
        <f t="shared" si="3"/>
        <v>12</v>
      </c>
      <c r="G30">
        <f t="shared" si="3"/>
        <v>2</v>
      </c>
      <c r="H30">
        <f t="shared" si="1"/>
        <v>0</v>
      </c>
      <c r="I30">
        <f t="shared" si="4"/>
        <v>10</v>
      </c>
      <c r="J30">
        <f t="shared" si="5"/>
        <v>10</v>
      </c>
    </row>
    <row r="31" spans="3:10" x14ac:dyDescent="0.35">
      <c r="C31">
        <v>49</v>
      </c>
      <c r="D31">
        <f t="shared" si="2"/>
        <v>0</v>
      </c>
      <c r="E31">
        <f t="shared" si="0"/>
        <v>0</v>
      </c>
      <c r="F31">
        <f t="shared" si="3"/>
        <v>11</v>
      </c>
      <c r="G31">
        <f t="shared" si="3"/>
        <v>1</v>
      </c>
      <c r="H31">
        <f t="shared" si="1"/>
        <v>0</v>
      </c>
      <c r="I31">
        <f t="shared" si="4"/>
        <v>10</v>
      </c>
      <c r="J31">
        <f t="shared" si="5"/>
        <v>10</v>
      </c>
    </row>
    <row r="32" spans="3:10" x14ac:dyDescent="0.35">
      <c r="C32">
        <v>50</v>
      </c>
      <c r="D32">
        <f t="shared" si="2"/>
        <v>0</v>
      </c>
      <c r="E32">
        <f t="shared" si="0"/>
        <v>0</v>
      </c>
      <c r="F32">
        <f t="shared" si="3"/>
        <v>10</v>
      </c>
      <c r="G32">
        <f t="shared" si="3"/>
        <v>0</v>
      </c>
      <c r="H32">
        <f t="shared" si="1"/>
        <v>0</v>
      </c>
      <c r="I32">
        <f t="shared" si="4"/>
        <v>10</v>
      </c>
      <c r="J32">
        <f t="shared" si="5"/>
        <v>10</v>
      </c>
    </row>
    <row r="33" spans="3:10" x14ac:dyDescent="0.35">
      <c r="C33">
        <v>51</v>
      </c>
      <c r="D33">
        <f t="shared" si="2"/>
        <v>0</v>
      </c>
      <c r="E33">
        <f t="shared" si="0"/>
        <v>0</v>
      </c>
      <c r="F33">
        <f t="shared" si="3"/>
        <v>9</v>
      </c>
      <c r="G33">
        <f t="shared" si="3"/>
        <v>0</v>
      </c>
      <c r="H33">
        <f t="shared" si="1"/>
        <v>0</v>
      </c>
      <c r="I33">
        <f t="shared" si="4"/>
        <v>9</v>
      </c>
      <c r="J33">
        <f t="shared" si="5"/>
        <v>9</v>
      </c>
    </row>
    <row r="34" spans="3:10" x14ac:dyDescent="0.35">
      <c r="C34">
        <v>52</v>
      </c>
      <c r="D34">
        <f t="shared" si="2"/>
        <v>0</v>
      </c>
      <c r="E34">
        <f t="shared" si="0"/>
        <v>0</v>
      </c>
      <c r="F34">
        <f t="shared" si="3"/>
        <v>8</v>
      </c>
      <c r="G34">
        <f t="shared" si="3"/>
        <v>0</v>
      </c>
      <c r="H34">
        <f t="shared" si="1"/>
        <v>0</v>
      </c>
      <c r="I34">
        <f t="shared" si="4"/>
        <v>8</v>
      </c>
      <c r="J34">
        <f t="shared" si="5"/>
        <v>8</v>
      </c>
    </row>
    <row r="35" spans="3:10" x14ac:dyDescent="0.35">
      <c r="C35">
        <v>53</v>
      </c>
      <c r="D35">
        <f t="shared" si="2"/>
        <v>0</v>
      </c>
      <c r="E35">
        <f t="shared" si="0"/>
        <v>0</v>
      </c>
      <c r="F35">
        <f t="shared" si="3"/>
        <v>7</v>
      </c>
      <c r="G35">
        <f t="shared" si="3"/>
        <v>0</v>
      </c>
      <c r="H35">
        <f t="shared" si="1"/>
        <v>0</v>
      </c>
      <c r="I35">
        <f t="shared" si="4"/>
        <v>7</v>
      </c>
      <c r="J35">
        <f t="shared" si="5"/>
        <v>7</v>
      </c>
    </row>
    <row r="36" spans="3:10" x14ac:dyDescent="0.35">
      <c r="C36">
        <v>54</v>
      </c>
      <c r="D36">
        <f t="shared" si="2"/>
        <v>0</v>
      </c>
      <c r="E36">
        <f t="shared" si="0"/>
        <v>0</v>
      </c>
      <c r="F36">
        <f t="shared" si="3"/>
        <v>6</v>
      </c>
      <c r="G36">
        <f t="shared" si="3"/>
        <v>0</v>
      </c>
      <c r="H36">
        <f t="shared" si="1"/>
        <v>0</v>
      </c>
      <c r="I36">
        <f t="shared" si="4"/>
        <v>6</v>
      </c>
      <c r="J36">
        <f t="shared" si="5"/>
        <v>6</v>
      </c>
    </row>
    <row r="37" spans="3:10" x14ac:dyDescent="0.35">
      <c r="C37">
        <v>55</v>
      </c>
      <c r="D37">
        <f t="shared" si="2"/>
        <v>0</v>
      </c>
      <c r="E37">
        <f t="shared" si="0"/>
        <v>0</v>
      </c>
      <c r="F37">
        <f t="shared" si="3"/>
        <v>5</v>
      </c>
      <c r="G37">
        <f t="shared" si="3"/>
        <v>0</v>
      </c>
      <c r="H37">
        <f t="shared" si="1"/>
        <v>0</v>
      </c>
      <c r="I37">
        <f t="shared" si="4"/>
        <v>5</v>
      </c>
      <c r="J37">
        <f t="shared" si="5"/>
        <v>5</v>
      </c>
    </row>
    <row r="38" spans="3:10" x14ac:dyDescent="0.35">
      <c r="C38">
        <v>56</v>
      </c>
      <c r="D38">
        <f t="shared" si="2"/>
        <v>0</v>
      </c>
      <c r="E38">
        <f t="shared" si="2"/>
        <v>0</v>
      </c>
      <c r="F38">
        <f t="shared" si="3"/>
        <v>4</v>
      </c>
      <c r="G38">
        <f t="shared" si="3"/>
        <v>0</v>
      </c>
      <c r="H38">
        <f t="shared" si="1"/>
        <v>0</v>
      </c>
      <c r="I38">
        <f t="shared" si="4"/>
        <v>4</v>
      </c>
      <c r="J38">
        <f t="shared" si="5"/>
        <v>4</v>
      </c>
    </row>
    <row r="39" spans="3:10" x14ac:dyDescent="0.35">
      <c r="C39">
        <v>57</v>
      </c>
      <c r="D39">
        <f t="shared" si="2"/>
        <v>0</v>
      </c>
      <c r="E39">
        <f t="shared" si="2"/>
        <v>0</v>
      </c>
      <c r="F39">
        <f t="shared" si="3"/>
        <v>3</v>
      </c>
      <c r="G39">
        <f t="shared" si="3"/>
        <v>0</v>
      </c>
      <c r="H39">
        <f t="shared" si="1"/>
        <v>0</v>
      </c>
      <c r="I39">
        <f t="shared" si="4"/>
        <v>3</v>
      </c>
      <c r="J39">
        <f t="shared" si="5"/>
        <v>3</v>
      </c>
    </row>
    <row r="40" spans="3:10" x14ac:dyDescent="0.35">
      <c r="C40">
        <v>58</v>
      </c>
      <c r="D40">
        <f t="shared" si="2"/>
        <v>0</v>
      </c>
      <c r="E40">
        <f t="shared" si="2"/>
        <v>0</v>
      </c>
      <c r="F40">
        <f t="shared" si="3"/>
        <v>2</v>
      </c>
      <c r="G40">
        <f t="shared" si="3"/>
        <v>0</v>
      </c>
      <c r="H40">
        <f t="shared" si="1"/>
        <v>0</v>
      </c>
      <c r="I40">
        <f t="shared" si="4"/>
        <v>2</v>
      </c>
      <c r="J40">
        <f t="shared" si="5"/>
        <v>2</v>
      </c>
    </row>
    <row r="41" spans="3:10" x14ac:dyDescent="0.35">
      <c r="C41">
        <v>59</v>
      </c>
      <c r="D41">
        <f t="shared" si="2"/>
        <v>0</v>
      </c>
      <c r="E41">
        <f t="shared" si="2"/>
        <v>0</v>
      </c>
      <c r="F41">
        <f t="shared" si="3"/>
        <v>1</v>
      </c>
      <c r="G41">
        <f t="shared" si="3"/>
        <v>0</v>
      </c>
      <c r="H41">
        <f t="shared" si="1"/>
        <v>0</v>
      </c>
      <c r="I41">
        <f t="shared" si="4"/>
        <v>1</v>
      </c>
      <c r="J41">
        <f t="shared" si="5"/>
        <v>1</v>
      </c>
    </row>
    <row r="42" spans="3:10" x14ac:dyDescent="0.35">
      <c r="C42">
        <v>60</v>
      </c>
      <c r="D42">
        <f t="shared" si="2"/>
        <v>0</v>
      </c>
      <c r="E42">
        <f t="shared" si="2"/>
        <v>0</v>
      </c>
      <c r="F42">
        <f t="shared" si="3"/>
        <v>0</v>
      </c>
      <c r="G42">
        <f t="shared" si="3"/>
        <v>0</v>
      </c>
      <c r="H42">
        <f t="shared" si="1"/>
        <v>0</v>
      </c>
      <c r="I42">
        <f t="shared" si="4"/>
        <v>0</v>
      </c>
      <c r="J42">
        <f t="shared" si="5"/>
        <v>0</v>
      </c>
    </row>
    <row r="43" spans="3:10" x14ac:dyDescent="0.35">
      <c r="C43">
        <v>61</v>
      </c>
      <c r="D43">
        <f t="shared" si="2"/>
        <v>0</v>
      </c>
      <c r="E43">
        <f t="shared" si="2"/>
        <v>1</v>
      </c>
      <c r="F43">
        <f t="shared" si="3"/>
        <v>0</v>
      </c>
      <c r="G43">
        <f t="shared" si="3"/>
        <v>0</v>
      </c>
      <c r="H43">
        <f t="shared" ref="H43:H62" si="6">1*E43-1*D43</f>
        <v>1</v>
      </c>
      <c r="I43">
        <f t="shared" si="4"/>
        <v>0</v>
      </c>
      <c r="J43">
        <f t="shared" ref="J43:J62" si="7">SUM(H43:I43)</f>
        <v>1</v>
      </c>
    </row>
    <row r="44" spans="3:10" x14ac:dyDescent="0.35">
      <c r="C44">
        <v>62</v>
      </c>
      <c r="D44">
        <f t="shared" ref="D44:E62" si="8">MAX(0,$C44-D$21)</f>
        <v>0</v>
      </c>
      <c r="E44">
        <f t="shared" si="8"/>
        <v>2</v>
      </c>
      <c r="F44">
        <f t="shared" ref="F44:G62" si="9">MAX(F$21-$C44,0)</f>
        <v>0</v>
      </c>
      <c r="G44">
        <f t="shared" si="9"/>
        <v>0</v>
      </c>
      <c r="H44">
        <f t="shared" si="6"/>
        <v>2</v>
      </c>
      <c r="I44">
        <f t="shared" si="4"/>
        <v>0</v>
      </c>
      <c r="J44">
        <f t="shared" si="7"/>
        <v>2</v>
      </c>
    </row>
    <row r="45" spans="3:10" x14ac:dyDescent="0.35">
      <c r="C45">
        <v>63</v>
      </c>
      <c r="D45">
        <f t="shared" si="8"/>
        <v>0</v>
      </c>
      <c r="E45">
        <f t="shared" si="8"/>
        <v>3</v>
      </c>
      <c r="F45">
        <f t="shared" si="9"/>
        <v>0</v>
      </c>
      <c r="G45">
        <f t="shared" si="9"/>
        <v>0</v>
      </c>
      <c r="H45">
        <f t="shared" si="6"/>
        <v>3</v>
      </c>
      <c r="I45">
        <f t="shared" si="4"/>
        <v>0</v>
      </c>
      <c r="J45">
        <f t="shared" si="7"/>
        <v>3</v>
      </c>
    </row>
    <row r="46" spans="3:10" x14ac:dyDescent="0.35">
      <c r="C46">
        <v>64</v>
      </c>
      <c r="D46">
        <f t="shared" si="8"/>
        <v>0</v>
      </c>
      <c r="E46">
        <f t="shared" si="8"/>
        <v>4</v>
      </c>
      <c r="F46">
        <f t="shared" si="9"/>
        <v>0</v>
      </c>
      <c r="G46">
        <f t="shared" si="9"/>
        <v>0</v>
      </c>
      <c r="H46">
        <f t="shared" si="6"/>
        <v>4</v>
      </c>
      <c r="I46">
        <f t="shared" si="4"/>
        <v>0</v>
      </c>
      <c r="J46">
        <f t="shared" si="7"/>
        <v>4</v>
      </c>
    </row>
    <row r="47" spans="3:10" x14ac:dyDescent="0.35">
      <c r="C47">
        <v>65</v>
      </c>
      <c r="D47">
        <f t="shared" si="8"/>
        <v>0</v>
      </c>
      <c r="E47">
        <f t="shared" si="8"/>
        <v>5</v>
      </c>
      <c r="F47">
        <f t="shared" si="9"/>
        <v>0</v>
      </c>
      <c r="G47">
        <f t="shared" si="9"/>
        <v>0</v>
      </c>
      <c r="H47">
        <f t="shared" si="6"/>
        <v>5</v>
      </c>
      <c r="I47">
        <f t="shared" si="4"/>
        <v>0</v>
      </c>
      <c r="J47">
        <f t="shared" si="7"/>
        <v>5</v>
      </c>
    </row>
    <row r="48" spans="3:10" x14ac:dyDescent="0.35">
      <c r="C48">
        <v>66</v>
      </c>
      <c r="D48">
        <f t="shared" si="8"/>
        <v>0</v>
      </c>
      <c r="E48">
        <f t="shared" si="8"/>
        <v>6</v>
      </c>
      <c r="F48">
        <f t="shared" si="9"/>
        <v>0</v>
      </c>
      <c r="G48">
        <f t="shared" si="9"/>
        <v>0</v>
      </c>
      <c r="H48">
        <f t="shared" si="6"/>
        <v>6</v>
      </c>
      <c r="I48">
        <f t="shared" si="4"/>
        <v>0</v>
      </c>
      <c r="J48">
        <f t="shared" si="7"/>
        <v>6</v>
      </c>
    </row>
    <row r="49" spans="3:10" x14ac:dyDescent="0.35">
      <c r="C49">
        <v>67</v>
      </c>
      <c r="D49">
        <f t="shared" si="8"/>
        <v>0</v>
      </c>
      <c r="E49">
        <f t="shared" si="8"/>
        <v>7</v>
      </c>
      <c r="F49">
        <f t="shared" si="9"/>
        <v>0</v>
      </c>
      <c r="G49">
        <f t="shared" si="9"/>
        <v>0</v>
      </c>
      <c r="H49">
        <f t="shared" si="6"/>
        <v>7</v>
      </c>
      <c r="I49">
        <f t="shared" si="4"/>
        <v>0</v>
      </c>
      <c r="J49">
        <f t="shared" si="7"/>
        <v>7</v>
      </c>
    </row>
    <row r="50" spans="3:10" x14ac:dyDescent="0.35">
      <c r="C50">
        <v>68</v>
      </c>
      <c r="D50">
        <f t="shared" si="8"/>
        <v>0</v>
      </c>
      <c r="E50">
        <f t="shared" si="8"/>
        <v>8</v>
      </c>
      <c r="F50">
        <f t="shared" si="9"/>
        <v>0</v>
      </c>
      <c r="G50">
        <f t="shared" si="9"/>
        <v>0</v>
      </c>
      <c r="H50">
        <f t="shared" si="6"/>
        <v>8</v>
      </c>
      <c r="I50">
        <f t="shared" si="4"/>
        <v>0</v>
      </c>
      <c r="J50">
        <f t="shared" si="7"/>
        <v>8</v>
      </c>
    </row>
    <row r="51" spans="3:10" x14ac:dyDescent="0.35">
      <c r="C51">
        <v>69</v>
      </c>
      <c r="D51">
        <f t="shared" si="8"/>
        <v>0</v>
      </c>
      <c r="E51">
        <f t="shared" si="8"/>
        <v>9</v>
      </c>
      <c r="F51">
        <f t="shared" si="9"/>
        <v>0</v>
      </c>
      <c r="G51">
        <f t="shared" si="9"/>
        <v>0</v>
      </c>
      <c r="H51">
        <f t="shared" si="6"/>
        <v>9</v>
      </c>
      <c r="I51">
        <f t="shared" si="4"/>
        <v>0</v>
      </c>
      <c r="J51">
        <f t="shared" si="7"/>
        <v>9</v>
      </c>
    </row>
    <row r="52" spans="3:10" x14ac:dyDescent="0.35">
      <c r="C52">
        <v>70</v>
      </c>
      <c r="D52">
        <f t="shared" si="8"/>
        <v>0</v>
      </c>
      <c r="E52">
        <f t="shared" si="8"/>
        <v>10</v>
      </c>
      <c r="F52">
        <f t="shared" si="9"/>
        <v>0</v>
      </c>
      <c r="G52">
        <f t="shared" si="9"/>
        <v>0</v>
      </c>
      <c r="H52">
        <f t="shared" si="6"/>
        <v>10</v>
      </c>
      <c r="I52">
        <f t="shared" si="4"/>
        <v>0</v>
      </c>
      <c r="J52">
        <f t="shared" si="7"/>
        <v>10</v>
      </c>
    </row>
    <row r="53" spans="3:10" x14ac:dyDescent="0.35">
      <c r="C53">
        <v>71</v>
      </c>
      <c r="D53">
        <f t="shared" si="8"/>
        <v>1</v>
      </c>
      <c r="E53">
        <f t="shared" si="8"/>
        <v>11</v>
      </c>
      <c r="F53">
        <f t="shared" si="9"/>
        <v>0</v>
      </c>
      <c r="G53">
        <f t="shared" si="9"/>
        <v>0</v>
      </c>
      <c r="H53">
        <f t="shared" si="6"/>
        <v>10</v>
      </c>
      <c r="I53">
        <f t="shared" si="4"/>
        <v>0</v>
      </c>
      <c r="J53">
        <f t="shared" si="7"/>
        <v>10</v>
      </c>
    </row>
    <row r="54" spans="3:10" x14ac:dyDescent="0.35">
      <c r="C54">
        <v>72</v>
      </c>
      <c r="D54">
        <f t="shared" si="8"/>
        <v>2</v>
      </c>
      <c r="E54">
        <f t="shared" si="8"/>
        <v>12</v>
      </c>
      <c r="F54">
        <f t="shared" si="9"/>
        <v>0</v>
      </c>
      <c r="G54">
        <f t="shared" si="9"/>
        <v>0</v>
      </c>
      <c r="H54">
        <f t="shared" si="6"/>
        <v>10</v>
      </c>
      <c r="I54">
        <f t="shared" si="4"/>
        <v>0</v>
      </c>
      <c r="J54">
        <f t="shared" si="7"/>
        <v>10</v>
      </c>
    </row>
    <row r="55" spans="3:10" x14ac:dyDescent="0.35">
      <c r="C55">
        <v>73</v>
      </c>
      <c r="D55">
        <f t="shared" si="8"/>
        <v>3</v>
      </c>
      <c r="E55">
        <f t="shared" si="8"/>
        <v>13</v>
      </c>
      <c r="F55">
        <f t="shared" si="9"/>
        <v>0</v>
      </c>
      <c r="G55">
        <f t="shared" si="9"/>
        <v>0</v>
      </c>
      <c r="H55">
        <f t="shared" si="6"/>
        <v>10</v>
      </c>
      <c r="I55">
        <f t="shared" si="4"/>
        <v>0</v>
      </c>
      <c r="J55">
        <f t="shared" si="7"/>
        <v>10</v>
      </c>
    </row>
    <row r="56" spans="3:10" x14ac:dyDescent="0.35">
      <c r="C56">
        <v>74</v>
      </c>
      <c r="D56">
        <f t="shared" si="8"/>
        <v>4</v>
      </c>
      <c r="E56">
        <f t="shared" si="8"/>
        <v>14</v>
      </c>
      <c r="F56">
        <f t="shared" si="9"/>
        <v>0</v>
      </c>
      <c r="G56">
        <f t="shared" si="9"/>
        <v>0</v>
      </c>
      <c r="H56">
        <f t="shared" si="6"/>
        <v>10</v>
      </c>
      <c r="I56">
        <f t="shared" si="4"/>
        <v>0</v>
      </c>
      <c r="J56">
        <f t="shared" si="7"/>
        <v>10</v>
      </c>
    </row>
    <row r="57" spans="3:10" x14ac:dyDescent="0.35">
      <c r="C57">
        <v>75</v>
      </c>
      <c r="D57">
        <f t="shared" si="8"/>
        <v>5</v>
      </c>
      <c r="E57">
        <f t="shared" si="8"/>
        <v>15</v>
      </c>
      <c r="F57">
        <f t="shared" si="9"/>
        <v>0</v>
      </c>
      <c r="G57">
        <f t="shared" si="9"/>
        <v>0</v>
      </c>
      <c r="H57">
        <f t="shared" si="6"/>
        <v>10</v>
      </c>
      <c r="I57">
        <f t="shared" si="4"/>
        <v>0</v>
      </c>
      <c r="J57">
        <f t="shared" si="7"/>
        <v>10</v>
      </c>
    </row>
    <row r="58" spans="3:10" x14ac:dyDescent="0.35">
      <c r="C58">
        <v>76</v>
      </c>
      <c r="D58">
        <f t="shared" si="8"/>
        <v>6</v>
      </c>
      <c r="E58">
        <f t="shared" si="8"/>
        <v>16</v>
      </c>
      <c r="F58">
        <f t="shared" si="9"/>
        <v>0</v>
      </c>
      <c r="G58">
        <f t="shared" si="9"/>
        <v>0</v>
      </c>
      <c r="H58">
        <f t="shared" si="6"/>
        <v>10</v>
      </c>
      <c r="I58">
        <f t="shared" si="4"/>
        <v>0</v>
      </c>
      <c r="J58">
        <f t="shared" si="7"/>
        <v>10</v>
      </c>
    </row>
    <row r="59" spans="3:10" x14ac:dyDescent="0.35">
      <c r="C59">
        <v>77</v>
      </c>
      <c r="D59">
        <f t="shared" si="8"/>
        <v>7</v>
      </c>
      <c r="E59">
        <f t="shared" si="8"/>
        <v>17</v>
      </c>
      <c r="F59">
        <f t="shared" si="9"/>
        <v>0</v>
      </c>
      <c r="G59">
        <f t="shared" si="9"/>
        <v>0</v>
      </c>
      <c r="H59">
        <f t="shared" si="6"/>
        <v>10</v>
      </c>
      <c r="I59">
        <f t="shared" si="4"/>
        <v>0</v>
      </c>
      <c r="J59">
        <f t="shared" si="7"/>
        <v>10</v>
      </c>
    </row>
    <row r="60" spans="3:10" x14ac:dyDescent="0.35">
      <c r="C60">
        <v>78</v>
      </c>
      <c r="D60">
        <f t="shared" si="8"/>
        <v>8</v>
      </c>
      <c r="E60">
        <f t="shared" si="8"/>
        <v>18</v>
      </c>
      <c r="F60">
        <f t="shared" si="9"/>
        <v>0</v>
      </c>
      <c r="G60">
        <f t="shared" si="9"/>
        <v>0</v>
      </c>
      <c r="H60">
        <f t="shared" si="6"/>
        <v>10</v>
      </c>
      <c r="I60">
        <f t="shared" si="4"/>
        <v>0</v>
      </c>
      <c r="J60">
        <f t="shared" si="7"/>
        <v>10</v>
      </c>
    </row>
    <row r="61" spans="3:10" x14ac:dyDescent="0.35">
      <c r="C61">
        <v>79</v>
      </c>
      <c r="D61">
        <f t="shared" si="8"/>
        <v>9</v>
      </c>
      <c r="E61">
        <f t="shared" si="8"/>
        <v>19</v>
      </c>
      <c r="F61">
        <f t="shared" si="9"/>
        <v>0</v>
      </c>
      <c r="G61">
        <f t="shared" si="9"/>
        <v>0</v>
      </c>
      <c r="H61">
        <f t="shared" si="6"/>
        <v>10</v>
      </c>
      <c r="I61">
        <f t="shared" si="4"/>
        <v>0</v>
      </c>
      <c r="J61">
        <f t="shared" si="7"/>
        <v>10</v>
      </c>
    </row>
    <row r="62" spans="3:10" x14ac:dyDescent="0.35">
      <c r="C62">
        <v>80</v>
      </c>
      <c r="D62">
        <f t="shared" si="8"/>
        <v>10</v>
      </c>
      <c r="E62">
        <f t="shared" si="8"/>
        <v>20</v>
      </c>
      <c r="F62">
        <f t="shared" si="9"/>
        <v>0</v>
      </c>
      <c r="G62">
        <f t="shared" si="9"/>
        <v>0</v>
      </c>
      <c r="H62">
        <f t="shared" si="6"/>
        <v>10</v>
      </c>
      <c r="I62">
        <f t="shared" si="4"/>
        <v>0</v>
      </c>
      <c r="J62">
        <f t="shared" si="7"/>
        <v>10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5E379-A830-4F43-BBBE-CABD97F0F26A}">
  <dimension ref="B2:L51"/>
  <sheetViews>
    <sheetView topLeftCell="A25" workbookViewId="0">
      <selection activeCell="B3" sqref="B3"/>
    </sheetView>
  </sheetViews>
  <sheetFormatPr defaultRowHeight="14.5" x14ac:dyDescent="0.35"/>
  <sheetData>
    <row r="2" spans="2:12" ht="90" customHeight="1" x14ac:dyDescent="0.35">
      <c r="B2" s="23" t="s">
        <v>176</v>
      </c>
      <c r="C2" s="23"/>
      <c r="D2" s="23"/>
      <c r="E2" s="23"/>
      <c r="F2" s="23"/>
      <c r="G2" s="23"/>
      <c r="H2" s="23"/>
      <c r="I2" s="23"/>
    </row>
    <row r="4" spans="2:12" x14ac:dyDescent="0.35">
      <c r="B4" t="s">
        <v>48</v>
      </c>
      <c r="C4" s="2" t="s">
        <v>49</v>
      </c>
      <c r="D4" s="2" t="s">
        <v>50</v>
      </c>
    </row>
    <row r="5" spans="2:12" x14ac:dyDescent="0.35">
      <c r="B5">
        <v>48</v>
      </c>
      <c r="C5" s="2">
        <f>$C$30*NORMSDIST(LN($C$30/(B5*EXP(-$C$33*$C$32)))/($C$34*SQRT($C$32))+($C$34*SQRT($C$32))/2)-B5*EXP(-$C$33*$C$32)*NORMSDIST(LN($C$30/(B5*EXP(-$C$33*$C$32)))/($C$34*SQRT($C$32))+($C$34*SQRT($C$32))/2-$C$34*SQRT($C$32))</f>
        <v>12.275172662895443</v>
      </c>
      <c r="D5" s="2">
        <f>C5+B5*EXP(-$C$32*$C$33)-$C$30</f>
        <v>2.0900484402554085</v>
      </c>
    </row>
    <row r="6" spans="2:12" x14ac:dyDescent="0.35">
      <c r="B6">
        <v>51</v>
      </c>
      <c r="C6" s="2">
        <f t="shared" ref="C6:C16" si="0">$C$30*NORMSDIST(LN($C$30/(B6*EXP(-$C$33*$C$32)))/($C$34*SQRT($C$32))+($C$34*SQRT($C$32))/2)-B6*EXP(-$C$33*$C$32)*NORMSDIST(LN($C$30/(B6*EXP(-$C$33*$C$32)))/($C$34*SQRT($C$32))+($C$34*SQRT($C$32))/2-$C$34*SQRT($C$32))</f>
        <v>10.308947235962808</v>
      </c>
      <c r="D6" s="2">
        <f t="shared" ref="D6:D16" si="1">C6+B6*EXP(-$C$32*$C$33)-$C$30</f>
        <v>3.049752749407773</v>
      </c>
    </row>
    <row r="7" spans="2:12" x14ac:dyDescent="0.35">
      <c r="B7">
        <v>54</v>
      </c>
      <c r="C7" s="2">
        <f t="shared" si="0"/>
        <v>8.5709996984276167</v>
      </c>
      <c r="D7" s="2">
        <f t="shared" si="1"/>
        <v>4.237734947957577</v>
      </c>
      <c r="H7" s="1"/>
      <c r="I7" s="1"/>
    </row>
    <row r="8" spans="2:12" x14ac:dyDescent="0.35">
      <c r="B8">
        <v>57</v>
      </c>
      <c r="C8" s="2">
        <f t="shared" si="0"/>
        <v>7.0594666478110248</v>
      </c>
      <c r="D8" s="2">
        <f t="shared" si="1"/>
        <v>5.6521316334259808</v>
      </c>
    </row>
    <row r="9" spans="2:12" x14ac:dyDescent="0.35">
      <c r="B9">
        <v>60</v>
      </c>
      <c r="C9" s="2">
        <f t="shared" si="0"/>
        <v>5.7643403043033175</v>
      </c>
      <c r="D9" s="2">
        <f t="shared" si="1"/>
        <v>7.2829350260032726</v>
      </c>
    </row>
    <row r="10" spans="2:12" x14ac:dyDescent="0.35">
      <c r="B10">
        <v>63</v>
      </c>
      <c r="C10" s="2">
        <f t="shared" si="0"/>
        <v>4.6696633581167006</v>
      </c>
      <c r="D10" s="2">
        <f t="shared" si="1"/>
        <v>9.1141878159016585</v>
      </c>
      <c r="L10">
        <f>75/57</f>
        <v>1.3157894736842106</v>
      </c>
    </row>
    <row r="11" spans="2:12" x14ac:dyDescent="0.35">
      <c r="B11">
        <v>66</v>
      </c>
      <c r="C11" s="2">
        <f t="shared" si="0"/>
        <v>3.7557536470285804</v>
      </c>
      <c r="D11" s="2">
        <f t="shared" si="1"/>
        <v>11.12620784089853</v>
      </c>
      <c r="L11">
        <f>60/63-1</f>
        <v>-4.7619047619047672E-2</v>
      </c>
    </row>
    <row r="12" spans="2:12" x14ac:dyDescent="0.35">
      <c r="B12">
        <v>69</v>
      </c>
      <c r="C12" s="2">
        <f t="shared" si="0"/>
        <v>3.0011708494586564</v>
      </c>
      <c r="D12" s="2">
        <f t="shared" si="1"/>
        <v>13.297554779413616</v>
      </c>
      <c r="J12" s="9"/>
      <c r="L12">
        <f>69/60-1</f>
        <v>0.14999999999999991</v>
      </c>
    </row>
    <row r="13" spans="2:12" x14ac:dyDescent="0.35">
      <c r="B13">
        <v>72</v>
      </c>
      <c r="C13" s="2">
        <f t="shared" si="0"/>
        <v>2.3842817610075908</v>
      </c>
      <c r="D13" s="2">
        <f t="shared" si="1"/>
        <v>15.606595427047537</v>
      </c>
      <c r="L13">
        <f>69/51-1</f>
        <v>0.35294117647058831</v>
      </c>
    </row>
    <row r="14" spans="2:12" x14ac:dyDescent="0.35">
      <c r="B14">
        <v>75</v>
      </c>
      <c r="C14" s="2">
        <f t="shared" si="0"/>
        <v>1.8843898036780509</v>
      </c>
      <c r="D14" s="2">
        <f t="shared" si="1"/>
        <v>18.032633205802995</v>
      </c>
    </row>
    <row r="15" spans="2:12" x14ac:dyDescent="0.35">
      <c r="B15">
        <v>78</v>
      </c>
      <c r="C15" s="2">
        <f t="shared" si="0"/>
        <v>1.4824633832167748</v>
      </c>
      <c r="D15" s="2">
        <f t="shared" si="1"/>
        <v>20.556636521426725</v>
      </c>
    </row>
    <row r="16" spans="2:12" x14ac:dyDescent="0.35">
      <c r="B16">
        <v>81</v>
      </c>
      <c r="C16" s="2">
        <f t="shared" si="0"/>
        <v>1.1615325786151933</v>
      </c>
      <c r="D16" s="2">
        <f t="shared" si="1"/>
        <v>23.161635452910133</v>
      </c>
    </row>
    <row r="18" spans="2:6" x14ac:dyDescent="0.35">
      <c r="B18" t="s">
        <v>1</v>
      </c>
      <c r="C18" t="s">
        <v>157</v>
      </c>
    </row>
    <row r="19" spans="2:6" x14ac:dyDescent="0.35">
      <c r="B19" t="s">
        <v>2</v>
      </c>
      <c r="C19" t="s">
        <v>156</v>
      </c>
    </row>
    <row r="20" spans="2:6" x14ac:dyDescent="0.35">
      <c r="B20" t="s">
        <v>7</v>
      </c>
      <c r="C20" t="s">
        <v>155</v>
      </c>
    </row>
    <row r="21" spans="2:6" x14ac:dyDescent="0.35">
      <c r="B21" t="s">
        <v>8</v>
      </c>
      <c r="C21" t="s">
        <v>152</v>
      </c>
    </row>
    <row r="24" spans="2:6" x14ac:dyDescent="0.35">
      <c r="B24" t="s">
        <v>153</v>
      </c>
    </row>
    <row r="25" spans="2:6" x14ac:dyDescent="0.35">
      <c r="B25" t="s">
        <v>67</v>
      </c>
    </row>
    <row r="26" spans="2:6" x14ac:dyDescent="0.35">
      <c r="B26">
        <f>69/57-1</f>
        <v>0.21052631578947367</v>
      </c>
      <c r="C26">
        <f>51/57-1</f>
        <v>-0.10526315789473684</v>
      </c>
    </row>
    <row r="27" spans="2:6" x14ac:dyDescent="0.35">
      <c r="B27" t="s">
        <v>154</v>
      </c>
    </row>
    <row r="30" spans="2:6" x14ac:dyDescent="0.35">
      <c r="B30" s="2" t="s">
        <v>57</v>
      </c>
      <c r="C30" s="2">
        <v>57</v>
      </c>
      <c r="D30" s="2"/>
      <c r="E30" s="2" t="s">
        <v>58</v>
      </c>
      <c r="F30" s="2">
        <f>C31*EXP(-C33*C32)</f>
        <v>70.222313666039952</v>
      </c>
    </row>
    <row r="31" spans="2:6" x14ac:dyDescent="0.35">
      <c r="B31" s="2" t="s">
        <v>48</v>
      </c>
      <c r="C31" s="2">
        <v>72</v>
      </c>
      <c r="D31" s="2"/>
      <c r="E31" s="2" t="s">
        <v>59</v>
      </c>
      <c r="F31" s="2">
        <f>LN(C30/F30)/(C34*SQRT(C32))+(C34*SQRT(C32))/2</f>
        <v>-0.59614352339601417</v>
      </c>
    </row>
    <row r="32" spans="2:6" x14ac:dyDescent="0.35">
      <c r="B32" s="2" t="s">
        <v>60</v>
      </c>
      <c r="C32" s="2">
        <v>0.5</v>
      </c>
      <c r="D32" s="2"/>
      <c r="E32" s="2" t="s">
        <v>61</v>
      </c>
      <c r="F32" s="2">
        <f>F31-C34*SQRT(C32)</f>
        <v>-0.87898623587063329</v>
      </c>
    </row>
    <row r="33" spans="2:6" x14ac:dyDescent="0.35">
      <c r="B33" s="2" t="s">
        <v>3</v>
      </c>
      <c r="C33" s="2">
        <v>0.05</v>
      </c>
      <c r="D33" s="2"/>
      <c r="E33" s="6" t="s">
        <v>62</v>
      </c>
      <c r="F33" s="4">
        <f>NORMSDIST(F31)</f>
        <v>0.27553967534756296</v>
      </c>
    </row>
    <row r="34" spans="2:6" x14ac:dyDescent="0.35">
      <c r="B34" s="2" t="s">
        <v>63</v>
      </c>
      <c r="C34" s="2">
        <v>0.4</v>
      </c>
      <c r="D34" s="2"/>
      <c r="E34" s="2" t="s">
        <v>64</v>
      </c>
      <c r="F34">
        <f>NORMSDIST(F32)</f>
        <v>0.1897043694281732</v>
      </c>
    </row>
    <row r="35" spans="2:6" x14ac:dyDescent="0.35">
      <c r="B35" s="2"/>
      <c r="C35" s="2"/>
      <c r="D35" s="2"/>
      <c r="E35" s="2" t="s">
        <v>65</v>
      </c>
      <c r="F35" s="2">
        <f>C30*F33-F30*F34</f>
        <v>2.3842817610075908</v>
      </c>
    </row>
    <row r="36" spans="2:6" x14ac:dyDescent="0.35">
      <c r="B36" s="2"/>
      <c r="C36" s="2"/>
      <c r="D36" s="2"/>
      <c r="E36" s="2" t="s">
        <v>66</v>
      </c>
      <c r="F36" s="2">
        <f>F35+F30-C30</f>
        <v>15.606595427047537</v>
      </c>
    </row>
    <row r="39" spans="2:6" x14ac:dyDescent="0.35">
      <c r="B39" t="s">
        <v>48</v>
      </c>
      <c r="C39" t="s">
        <v>49</v>
      </c>
      <c r="D39" t="s">
        <v>50</v>
      </c>
    </row>
    <row r="40" spans="2:6" x14ac:dyDescent="0.35">
      <c r="B40">
        <v>48</v>
      </c>
      <c r="C40">
        <f>$C$30*NORMSDIST(LN($C$30/(B40*EXP(-$C$33*$C$32)))/($C$34*SQRT($C$32))+($C$34*SQRT($C$32))/2)-B40*EXP(-$C$33*$C$32)*NORMSDIST(LN($C$30/(B40*EXP(-$C$33*$C$32)))/($C$34*SQRT($C$32))+($C$34*SQRT($C$32))/2-$C$34*SQRT($C$32))</f>
        <v>12.275172662895443</v>
      </c>
      <c r="D40">
        <f>C40+B40*EXP(-$C$32*$C$33)-$C$30</f>
        <v>2.0900484402554085</v>
      </c>
      <c r="E40">
        <f>C40-D40+B40*EXP(-$C$33*$C$32)</f>
        <v>57</v>
      </c>
    </row>
    <row r="41" spans="2:6" x14ac:dyDescent="0.35">
      <c r="B41">
        <v>51</v>
      </c>
      <c r="C41">
        <f t="shared" ref="C41:C51" si="2">$C$30*NORMSDIST(LN($C$30/(B41*EXP(-$C$33*$C$32)))/($C$34*SQRT($C$32))+($C$34*SQRT($C$32))/2)-B41*EXP(-$C$33*$C$32)*NORMSDIST(LN($C$30/(B41*EXP(-$C$33*$C$32)))/($C$34*SQRT($C$32))+($C$34*SQRT($C$32))/2-$C$34*SQRT($C$32))</f>
        <v>10.308947235962808</v>
      </c>
      <c r="D41" s="4">
        <f t="shared" ref="D41:D51" si="3">C41+B41*EXP(-$C$32*$C$33)-$C$30</f>
        <v>3.049752749407773</v>
      </c>
      <c r="E41">
        <f t="shared" ref="E41:E51" si="4">C41-D41+B41*EXP(-$C$33*$C$32)</f>
        <v>57</v>
      </c>
    </row>
    <row r="42" spans="2:6" x14ac:dyDescent="0.35">
      <c r="B42">
        <v>54</v>
      </c>
      <c r="C42">
        <f t="shared" si="2"/>
        <v>8.5709996984276167</v>
      </c>
      <c r="D42">
        <f t="shared" si="3"/>
        <v>4.237734947957577</v>
      </c>
      <c r="E42">
        <f t="shared" si="4"/>
        <v>57</v>
      </c>
    </row>
    <row r="43" spans="2:6" x14ac:dyDescent="0.35">
      <c r="B43">
        <v>57</v>
      </c>
      <c r="C43">
        <f t="shared" si="2"/>
        <v>7.0594666478110248</v>
      </c>
      <c r="D43">
        <f t="shared" si="3"/>
        <v>5.6521316334259808</v>
      </c>
      <c r="E43">
        <f t="shared" si="4"/>
        <v>57</v>
      </c>
    </row>
    <row r="44" spans="2:6" x14ac:dyDescent="0.35">
      <c r="B44">
        <v>60</v>
      </c>
      <c r="C44">
        <f t="shared" si="2"/>
        <v>5.7643403043033175</v>
      </c>
      <c r="D44">
        <f t="shared" si="3"/>
        <v>7.2829350260032726</v>
      </c>
      <c r="E44">
        <f t="shared" si="4"/>
        <v>57</v>
      </c>
    </row>
    <row r="45" spans="2:6" x14ac:dyDescent="0.35">
      <c r="B45">
        <v>63</v>
      </c>
      <c r="C45">
        <f t="shared" si="2"/>
        <v>4.6696633581167006</v>
      </c>
      <c r="D45">
        <f t="shared" si="3"/>
        <v>9.1141878159016585</v>
      </c>
      <c r="E45">
        <f t="shared" si="4"/>
        <v>57</v>
      </c>
    </row>
    <row r="46" spans="2:6" x14ac:dyDescent="0.35">
      <c r="B46">
        <v>66</v>
      </c>
      <c r="C46">
        <f t="shared" si="2"/>
        <v>3.7557536470285804</v>
      </c>
      <c r="D46">
        <f t="shared" si="3"/>
        <v>11.12620784089853</v>
      </c>
      <c r="E46">
        <f t="shared" si="4"/>
        <v>57</v>
      </c>
    </row>
    <row r="47" spans="2:6" x14ac:dyDescent="0.35">
      <c r="B47">
        <v>69</v>
      </c>
      <c r="C47" s="4">
        <f t="shared" si="2"/>
        <v>3.0011708494586564</v>
      </c>
      <c r="D47">
        <f t="shared" si="3"/>
        <v>13.297554779413616</v>
      </c>
      <c r="E47">
        <f t="shared" si="4"/>
        <v>57</v>
      </c>
    </row>
    <row r="48" spans="2:6" x14ac:dyDescent="0.35">
      <c r="B48">
        <v>72</v>
      </c>
      <c r="C48">
        <f t="shared" si="2"/>
        <v>2.3842817610075908</v>
      </c>
      <c r="D48">
        <f t="shared" si="3"/>
        <v>15.606595427047537</v>
      </c>
      <c r="E48">
        <f t="shared" si="4"/>
        <v>57.000000000000007</v>
      </c>
    </row>
    <row r="49" spans="2:5" x14ac:dyDescent="0.35">
      <c r="B49">
        <v>75</v>
      </c>
      <c r="C49">
        <f t="shared" si="2"/>
        <v>1.8843898036780509</v>
      </c>
      <c r="D49">
        <f t="shared" si="3"/>
        <v>18.032633205802995</v>
      </c>
      <c r="E49">
        <f t="shared" si="4"/>
        <v>57</v>
      </c>
    </row>
    <row r="50" spans="2:5" x14ac:dyDescent="0.35">
      <c r="B50">
        <v>78</v>
      </c>
      <c r="C50">
        <f t="shared" si="2"/>
        <v>1.4824633832167748</v>
      </c>
      <c r="D50">
        <f t="shared" si="3"/>
        <v>20.556636521426725</v>
      </c>
      <c r="E50">
        <f t="shared" si="4"/>
        <v>56.999999999999993</v>
      </c>
    </row>
    <row r="51" spans="2:5" x14ac:dyDescent="0.35">
      <c r="B51">
        <v>81</v>
      </c>
      <c r="C51">
        <f t="shared" si="2"/>
        <v>1.1615325786151933</v>
      </c>
      <c r="D51">
        <f t="shared" si="3"/>
        <v>23.161635452910133</v>
      </c>
      <c r="E51">
        <f t="shared" si="4"/>
        <v>57</v>
      </c>
    </row>
  </sheetData>
  <mergeCells count="1">
    <mergeCell ref="B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44D0-0254-443D-A160-DFF70C03D0EE}">
  <dimension ref="A3:S52"/>
  <sheetViews>
    <sheetView topLeftCell="A26" workbookViewId="0">
      <selection activeCell="D53" sqref="D53"/>
    </sheetView>
  </sheetViews>
  <sheetFormatPr defaultColWidth="9.1796875" defaultRowHeight="15.5" x14ac:dyDescent="0.35"/>
  <cols>
    <col min="1" max="1" width="9.453125" style="14" bestFit="1" customWidth="1"/>
    <col min="2" max="2" width="25.1796875" style="14" customWidth="1"/>
    <col min="3" max="3" width="24.1796875" style="14" bestFit="1" customWidth="1"/>
    <col min="4" max="4" width="9.453125" style="14" bestFit="1" customWidth="1"/>
    <col min="5" max="5" width="9.1796875" style="14"/>
    <col min="6" max="6" width="9.453125" style="14" bestFit="1" customWidth="1"/>
    <col min="7" max="7" width="9.1796875" style="14"/>
    <col min="8" max="8" width="9.453125" style="14" bestFit="1" customWidth="1"/>
    <col min="9" max="10" width="9.1796875" style="14"/>
    <col min="11" max="14" width="9.453125" style="14" bestFit="1" customWidth="1"/>
    <col min="15" max="15" width="9.1796875" style="14"/>
    <col min="16" max="16" width="9.453125" style="14" bestFit="1" customWidth="1"/>
    <col min="17" max="16384" width="9.1796875" style="14"/>
  </cols>
  <sheetData>
    <row r="3" spans="1:19" x14ac:dyDescent="0.35">
      <c r="B3" s="24" t="s">
        <v>90</v>
      </c>
      <c r="C3" s="24"/>
      <c r="D3" s="24"/>
      <c r="E3" s="24"/>
      <c r="F3" s="24"/>
      <c r="G3" s="24"/>
      <c r="H3" s="24"/>
      <c r="I3" s="24"/>
      <c r="J3" s="24"/>
      <c r="K3" s="24"/>
      <c r="L3" s="24"/>
      <c r="M3" s="24"/>
    </row>
    <row r="4" spans="1:19" ht="132" customHeight="1" x14ac:dyDescent="0.35">
      <c r="B4" s="24"/>
      <c r="C4" s="24"/>
      <c r="D4" s="24"/>
      <c r="E4" s="24"/>
      <c r="F4" s="24"/>
      <c r="G4" s="24"/>
      <c r="H4" s="24"/>
      <c r="I4" s="24"/>
      <c r="J4" s="24"/>
      <c r="K4" s="24"/>
      <c r="L4" s="24"/>
      <c r="M4" s="24"/>
    </row>
    <row r="5" spans="1:19" ht="15.75" customHeight="1" x14ac:dyDescent="0.35">
      <c r="B5" s="13" t="s">
        <v>1</v>
      </c>
      <c r="C5" s="24" t="s">
        <v>88</v>
      </c>
      <c r="D5" s="24"/>
      <c r="E5" s="24"/>
      <c r="F5" s="24"/>
      <c r="G5" s="24"/>
      <c r="H5" s="24"/>
      <c r="I5" s="24"/>
      <c r="J5" s="24"/>
      <c r="K5" s="24"/>
      <c r="L5" s="24"/>
      <c r="M5" s="24"/>
      <c r="N5" s="24"/>
      <c r="O5" s="24"/>
      <c r="P5" s="24"/>
    </row>
    <row r="6" spans="1:19" ht="15.75" customHeight="1" x14ac:dyDescent="0.35">
      <c r="B6" s="13" t="s">
        <v>2</v>
      </c>
      <c r="C6" s="24" t="s">
        <v>94</v>
      </c>
      <c r="D6" s="24"/>
      <c r="E6" s="24"/>
      <c r="F6" s="24"/>
      <c r="G6" s="24"/>
      <c r="H6" s="24"/>
      <c r="I6" s="24"/>
      <c r="J6" s="24"/>
      <c r="K6" s="24"/>
      <c r="L6" s="24"/>
      <c r="M6" s="24"/>
      <c r="N6" s="24"/>
      <c r="O6" s="24"/>
      <c r="P6" s="24"/>
      <c r="Q6" s="24"/>
      <c r="R6" s="24"/>
      <c r="S6" s="24"/>
    </row>
    <row r="7" spans="1:19" x14ac:dyDescent="0.35">
      <c r="B7" s="13" t="s">
        <v>7</v>
      </c>
      <c r="C7" s="24" t="s">
        <v>158</v>
      </c>
      <c r="D7" s="24"/>
      <c r="E7" s="24"/>
      <c r="F7" s="24"/>
      <c r="G7" s="24"/>
      <c r="H7" s="24"/>
      <c r="I7" s="24"/>
      <c r="J7" s="24"/>
      <c r="K7" s="24"/>
      <c r="L7" s="24"/>
      <c r="M7" s="24"/>
      <c r="N7" s="24"/>
      <c r="O7" s="24"/>
      <c r="P7" s="24"/>
      <c r="Q7" s="24"/>
      <c r="R7" s="24"/>
    </row>
    <row r="8" spans="1:19" ht="15.75" customHeight="1" x14ac:dyDescent="0.35">
      <c r="B8" s="13" t="s">
        <v>8</v>
      </c>
      <c r="C8" s="24" t="s">
        <v>160</v>
      </c>
      <c r="D8" s="24"/>
      <c r="E8" s="24"/>
      <c r="F8" s="24"/>
      <c r="G8" s="24"/>
      <c r="H8" s="24"/>
      <c r="I8" s="24"/>
      <c r="J8" s="24"/>
      <c r="K8" s="24"/>
      <c r="L8" s="24"/>
      <c r="M8" s="24"/>
      <c r="N8" s="24"/>
      <c r="O8" s="24"/>
      <c r="P8" s="24"/>
      <c r="Q8" s="24"/>
      <c r="R8" s="24"/>
      <c r="S8" s="24"/>
    </row>
    <row r="9" spans="1:19" ht="15.75" customHeight="1" x14ac:dyDescent="0.35">
      <c r="B9" s="13"/>
      <c r="C9" s="13"/>
      <c r="D9" s="13"/>
      <c r="E9" s="13"/>
      <c r="F9" s="13"/>
      <c r="G9" s="13"/>
      <c r="H9" s="13"/>
      <c r="I9" s="13"/>
      <c r="J9" s="13"/>
      <c r="K9" s="13"/>
      <c r="L9" s="13"/>
      <c r="M9" s="13"/>
    </row>
    <row r="10" spans="1:19" ht="15.75" customHeight="1" x14ac:dyDescent="0.35">
      <c r="A10" s="14" t="s">
        <v>1</v>
      </c>
      <c r="B10" s="13"/>
      <c r="C10" s="13"/>
      <c r="D10" s="13"/>
      <c r="E10" s="13"/>
      <c r="F10" s="13"/>
      <c r="G10" s="13"/>
      <c r="H10" s="13"/>
      <c r="I10" s="13"/>
      <c r="J10" s="13"/>
      <c r="K10" s="13"/>
      <c r="L10" s="13"/>
      <c r="M10" s="13"/>
    </row>
    <row r="11" spans="1:19" ht="15.75" customHeight="1" x14ac:dyDescent="0.35">
      <c r="B11" s="13"/>
      <c r="C11" s="13"/>
      <c r="D11" s="13"/>
      <c r="E11" s="13"/>
      <c r="F11" s="13"/>
      <c r="G11" s="13"/>
      <c r="H11" s="13"/>
      <c r="I11" s="13"/>
      <c r="J11" s="13"/>
      <c r="K11" s="13"/>
      <c r="L11" s="13"/>
      <c r="M11" s="13"/>
    </row>
    <row r="12" spans="1:19" ht="12.75" customHeight="1" x14ac:dyDescent="0.35">
      <c r="B12" s="13"/>
      <c r="C12" s="13"/>
      <c r="D12" s="13"/>
      <c r="E12" s="13"/>
      <c r="F12" s="13"/>
      <c r="G12" s="13"/>
      <c r="H12" s="13"/>
      <c r="I12" s="13"/>
      <c r="J12" s="13"/>
      <c r="K12" s="13"/>
      <c r="L12" s="13"/>
      <c r="M12" s="13"/>
    </row>
    <row r="13" spans="1:19" x14ac:dyDescent="0.35">
      <c r="B13" s="14" t="s">
        <v>85</v>
      </c>
      <c r="C13" s="14">
        <f>EXP(0.25*SQRT(1/12))</f>
        <v>1.0748367436220922</v>
      </c>
      <c r="J13" s="14" t="s">
        <v>85</v>
      </c>
      <c r="K13" s="14">
        <f>EXP(0.25*SQRT(1/12))</f>
        <v>1.0748367436220922</v>
      </c>
    </row>
    <row r="14" spans="1:19" x14ac:dyDescent="0.35">
      <c r="B14" s="14" t="s">
        <v>86</v>
      </c>
      <c r="C14" s="14">
        <f>EXP(-0.25*SQRT(1/12))</f>
        <v>0.93037385066507883</v>
      </c>
      <c r="G14" s="14" t="s">
        <v>68</v>
      </c>
      <c r="H14" s="14">
        <f>F17*C13</f>
        <v>115.52740254401434</v>
      </c>
      <c r="J14" s="14" t="s">
        <v>86</v>
      </c>
      <c r="K14" s="14">
        <f>EXP(-0.25*SQRT(1/12))</f>
        <v>0.93037385066507883</v>
      </c>
      <c r="O14" s="14" t="s">
        <v>68</v>
      </c>
      <c r="P14" s="14">
        <f>N17*K13</f>
        <v>115.52740254401434</v>
      </c>
    </row>
    <row r="15" spans="1:19" x14ac:dyDescent="0.35">
      <c r="B15" s="14" t="s">
        <v>48</v>
      </c>
      <c r="C15" s="14">
        <v>100</v>
      </c>
      <c r="G15" s="14" t="s">
        <v>69</v>
      </c>
      <c r="H15" s="15">
        <f>MAX(H14-$C$15,0)</f>
        <v>15.527402544014336</v>
      </c>
      <c r="O15" s="14" t="s">
        <v>69</v>
      </c>
      <c r="P15" s="15">
        <f>MAX($C$15-P14,0)</f>
        <v>0</v>
      </c>
    </row>
    <row r="16" spans="1:19" x14ac:dyDescent="0.35">
      <c r="B16" s="14" t="s">
        <v>3</v>
      </c>
      <c r="C16" s="16">
        <v>0.05</v>
      </c>
      <c r="E16" s="14" t="s">
        <v>70</v>
      </c>
      <c r="F16" s="17">
        <f>$D$21*$C$13</f>
        <v>107.48367436220923</v>
      </c>
      <c r="J16" s="14" t="s">
        <v>3</v>
      </c>
      <c r="K16" s="16">
        <v>0.05</v>
      </c>
      <c r="M16" s="14" t="s">
        <v>70</v>
      </c>
      <c r="N16" s="17">
        <f>$D$21*$C$13</f>
        <v>107.48367436220923</v>
      </c>
    </row>
    <row r="17" spans="1:16" x14ac:dyDescent="0.35">
      <c r="E17" s="14" t="s">
        <v>71</v>
      </c>
      <c r="F17" s="14">
        <f>F16-$G$2</f>
        <v>107.48367436220923</v>
      </c>
      <c r="M17" s="14" t="s">
        <v>71</v>
      </c>
      <c r="N17" s="14">
        <f>N16-$G$2</f>
        <v>107.48367436220923</v>
      </c>
    </row>
    <row r="18" spans="1:16" x14ac:dyDescent="0.35">
      <c r="E18" s="14" t="s">
        <v>72</v>
      </c>
      <c r="F18" s="14">
        <f>(H15-H22)/(H14-H21)</f>
        <v>1</v>
      </c>
      <c r="M18" s="14" t="s">
        <v>72</v>
      </c>
      <c r="N18" s="14">
        <f>(P15-P22)/(P14-P21)</f>
        <v>0</v>
      </c>
    </row>
    <row r="19" spans="1:16" x14ac:dyDescent="0.35">
      <c r="E19" s="14" t="s">
        <v>2</v>
      </c>
      <c r="F19" s="15">
        <f>(H22-F18*H21)*EXP(-$C$16*(1/12))</f>
        <v>-99.584200184510991</v>
      </c>
      <c r="M19" s="14" t="s">
        <v>2</v>
      </c>
      <c r="N19" s="15">
        <f>(P22-N18*P21)*EXP(-$C$16*(1/12))</f>
        <v>0</v>
      </c>
    </row>
    <row r="20" spans="1:16" x14ac:dyDescent="0.35">
      <c r="E20" s="14" t="s">
        <v>73</v>
      </c>
      <c r="F20" s="15">
        <f>F18*F17+F19</f>
        <v>7.899474177698238</v>
      </c>
      <c r="M20" s="14" t="s">
        <v>73</v>
      </c>
      <c r="N20" s="15">
        <f>N18*N17+N19</f>
        <v>0</v>
      </c>
    </row>
    <row r="21" spans="1:16" x14ac:dyDescent="0.35">
      <c r="C21" s="14" t="s">
        <v>74</v>
      </c>
      <c r="D21" s="14">
        <v>100</v>
      </c>
      <c r="F21" s="15"/>
      <c r="G21" s="14" t="s">
        <v>75</v>
      </c>
      <c r="H21" s="15">
        <f>F17*$C$14</f>
        <v>100.00000000000001</v>
      </c>
      <c r="K21" s="14" t="s">
        <v>74</v>
      </c>
      <c r="L21" s="14">
        <v>100</v>
      </c>
      <c r="N21" s="15"/>
      <c r="O21" s="14" t="s">
        <v>75</v>
      </c>
      <c r="P21" s="15">
        <f>N17*$C$14</f>
        <v>100.00000000000001</v>
      </c>
    </row>
    <row r="22" spans="1:16" x14ac:dyDescent="0.35">
      <c r="G22" s="14" t="s">
        <v>76</v>
      </c>
      <c r="H22" s="15">
        <f>MAX(H21-$C$15,0)</f>
        <v>1.4210854715202004E-14</v>
      </c>
      <c r="O22" s="14" t="s">
        <v>76</v>
      </c>
      <c r="P22" s="15">
        <f>MAX($C$15-P21,0)</f>
        <v>0</v>
      </c>
    </row>
    <row r="23" spans="1:16" x14ac:dyDescent="0.35">
      <c r="C23" s="14" t="s">
        <v>72</v>
      </c>
      <c r="D23" s="15">
        <f>(F20-F30)/(F16-F26)</f>
        <v>0.54681683413669513</v>
      </c>
      <c r="K23" s="14" t="s">
        <v>72</v>
      </c>
      <c r="L23" s="15">
        <f>(N20-N30)/(N16-N26)</f>
        <v>-0.45318316586330487</v>
      </c>
      <c r="M23" s="15">
        <f>D23-1</f>
        <v>-0.45318316586330487</v>
      </c>
    </row>
    <row r="24" spans="1:16" x14ac:dyDescent="0.35">
      <c r="C24" s="14" t="s">
        <v>2</v>
      </c>
      <c r="D24" s="15">
        <f>(F30-D23*F26)*EXP(-$C$16*(1/12))</f>
        <v>-50.662872662339026</v>
      </c>
      <c r="G24" s="14" t="s">
        <v>77</v>
      </c>
      <c r="H24" s="15">
        <f>F27*$C$13</f>
        <v>100</v>
      </c>
      <c r="K24" s="14" t="s">
        <v>2</v>
      </c>
      <c r="L24" s="15">
        <f>(N30-L23*N26)*EXP(-$C$16*(1/12))</f>
        <v>48.507256601548569</v>
      </c>
      <c r="O24" s="14" t="s">
        <v>77</v>
      </c>
      <c r="P24" s="15">
        <f>N27*$C$13</f>
        <v>100</v>
      </c>
    </row>
    <row r="25" spans="1:16" x14ac:dyDescent="0.35">
      <c r="C25" s="14" t="s">
        <v>78</v>
      </c>
      <c r="D25" s="18">
        <f>D23*D21+D24</f>
        <v>4.0188107513304843</v>
      </c>
      <c r="G25" s="14" t="s">
        <v>79</v>
      </c>
      <c r="H25" s="15">
        <f>MAX(H24-$C$15,0)</f>
        <v>0</v>
      </c>
      <c r="K25" s="14" t="s">
        <v>87</v>
      </c>
      <c r="L25" s="18">
        <f>L23*L21+L24</f>
        <v>3.1889400152180798</v>
      </c>
      <c r="O25" s="14" t="s">
        <v>79</v>
      </c>
      <c r="P25" s="15">
        <f>MAX($C$15-P24,0)</f>
        <v>0</v>
      </c>
    </row>
    <row r="26" spans="1:16" x14ac:dyDescent="0.35">
      <c r="C26" s="14" t="s">
        <v>87</v>
      </c>
      <c r="D26" s="15">
        <f>D25+C15*EXP(-C16*2/12)-100</f>
        <v>3.188940015218094</v>
      </c>
      <c r="E26" s="14" t="s">
        <v>80</v>
      </c>
      <c r="F26" s="14">
        <f>$D$21*$C$14</f>
        <v>93.037385066507881</v>
      </c>
      <c r="H26" s="15"/>
      <c r="L26" s="15"/>
      <c r="M26" s="14" t="s">
        <v>80</v>
      </c>
      <c r="N26" s="14">
        <f>$D$21*$C$14</f>
        <v>93.037385066507881</v>
      </c>
      <c r="P26" s="15"/>
    </row>
    <row r="27" spans="1:16" x14ac:dyDescent="0.35">
      <c r="A27" s="14" t="s">
        <v>95</v>
      </c>
      <c r="D27" s="15"/>
      <c r="E27" s="14" t="s">
        <v>81</v>
      </c>
      <c r="F27" s="14">
        <f>F26-$G$2</f>
        <v>93.037385066507881</v>
      </c>
      <c r="H27" s="15"/>
      <c r="L27" s="15"/>
      <c r="M27" s="14" t="s">
        <v>81</v>
      </c>
      <c r="N27" s="14">
        <f>N26-$G$2</f>
        <v>93.037385066507881</v>
      </c>
      <c r="P27" s="15"/>
    </row>
    <row r="28" spans="1:16" x14ac:dyDescent="0.35">
      <c r="A28" s="14">
        <v>100</v>
      </c>
      <c r="B28" s="14">
        <v>90</v>
      </c>
      <c r="E28" s="14" t="s">
        <v>72</v>
      </c>
      <c r="F28" s="14">
        <f>(H25-H32)/(H24-H31)</f>
        <v>0</v>
      </c>
      <c r="H28" s="15"/>
      <c r="M28" s="14" t="s">
        <v>72</v>
      </c>
      <c r="N28" s="14">
        <f>(P25-P32)/(P24-P31)</f>
        <v>-1</v>
      </c>
      <c r="P28" s="15"/>
    </row>
    <row r="29" spans="1:16" x14ac:dyDescent="0.35">
      <c r="A29" s="14">
        <f>3.19</f>
        <v>3.19</v>
      </c>
      <c r="B29" s="14">
        <f>0.816</f>
        <v>0.81599999999999995</v>
      </c>
      <c r="C29" s="14" t="s">
        <v>96</v>
      </c>
      <c r="E29" s="14" t="s">
        <v>2</v>
      </c>
      <c r="F29" s="14">
        <f>(H32-H31*F28)*EXP(-$C$16*(1/12))</f>
        <v>0</v>
      </c>
      <c r="H29" s="15"/>
      <c r="M29" s="14" t="s">
        <v>2</v>
      </c>
      <c r="N29" s="14">
        <f>(P32-P31*N28)*EXP(-$C$16*(1/12))</f>
        <v>99.584200184510991</v>
      </c>
      <c r="P29" s="15"/>
    </row>
    <row r="30" spans="1:16" x14ac:dyDescent="0.35">
      <c r="A30" s="14">
        <v>4.0199999999999996</v>
      </c>
      <c r="B30" s="14">
        <f>11.563-10</f>
        <v>1.5630000000000006</v>
      </c>
      <c r="C30" s="14" t="s">
        <v>97</v>
      </c>
      <c r="E30" s="14" t="s">
        <v>82</v>
      </c>
      <c r="F30" s="14">
        <f>F28*F27+F29</f>
        <v>0</v>
      </c>
      <c r="H30" s="15"/>
      <c r="M30" s="14" t="s">
        <v>82</v>
      </c>
      <c r="N30" s="14">
        <f>N28*N27+N29</f>
        <v>6.54681511800311</v>
      </c>
      <c r="P30" s="15"/>
    </row>
    <row r="31" spans="1:16" x14ac:dyDescent="0.35">
      <c r="F31" s="15"/>
      <c r="G31" s="14" t="s">
        <v>83</v>
      </c>
      <c r="H31" s="15">
        <f>F27*$C$14</f>
        <v>86.559550200136641</v>
      </c>
      <c r="N31" s="15"/>
      <c r="O31" s="14" t="s">
        <v>83</v>
      </c>
      <c r="P31" s="15">
        <f>N27*$C$14</f>
        <v>86.559550200136641</v>
      </c>
    </row>
    <row r="32" spans="1:16" x14ac:dyDescent="0.35">
      <c r="G32" s="14" t="s">
        <v>84</v>
      </c>
      <c r="H32" s="15">
        <f>MAX(H31-$C$15,0)</f>
        <v>0</v>
      </c>
      <c r="O32" s="14" t="s">
        <v>84</v>
      </c>
      <c r="P32" s="15">
        <f>MAX($C$15-P31,0)</f>
        <v>13.440449799863359</v>
      </c>
    </row>
    <row r="34" spans="1:5" x14ac:dyDescent="0.35">
      <c r="C34" s="14" t="s">
        <v>89</v>
      </c>
    </row>
    <row r="36" spans="1:5" x14ac:dyDescent="0.35">
      <c r="A36" s="14" t="s">
        <v>2</v>
      </c>
      <c r="B36" s="14" t="s">
        <v>98</v>
      </c>
    </row>
    <row r="37" spans="1:5" x14ac:dyDescent="0.35">
      <c r="B37" s="14" t="s">
        <v>99</v>
      </c>
    </row>
    <row r="38" spans="1:5" x14ac:dyDescent="0.35">
      <c r="B38" s="14" t="s">
        <v>100</v>
      </c>
    </row>
    <row r="40" spans="1:5" x14ac:dyDescent="0.35">
      <c r="A40" s="14" t="s">
        <v>7</v>
      </c>
      <c r="B40" s="14" t="s">
        <v>91</v>
      </c>
      <c r="C40" s="14">
        <f>M23*L21*0.85/L25</f>
        <v>-12.079427306426345</v>
      </c>
    </row>
    <row r="41" spans="1:5" x14ac:dyDescent="0.35">
      <c r="B41" s="14" t="s">
        <v>92</v>
      </c>
      <c r="C41" s="19">
        <f>EXP(0.05)-1+C40*5%</f>
        <v>-0.55270026894529312</v>
      </c>
    </row>
    <row r="42" spans="1:5" x14ac:dyDescent="0.35">
      <c r="B42" s="14" t="s">
        <v>93</v>
      </c>
      <c r="C42" s="20">
        <f>C41/12</f>
        <v>-4.6058355745441093E-2</v>
      </c>
      <c r="D42" s="14" t="s">
        <v>159</v>
      </c>
      <c r="E42" s="14">
        <f>(1+C41)^(1/12)-1</f>
        <v>-6.4845819306709074E-2</v>
      </c>
    </row>
    <row r="44" spans="1:5" x14ac:dyDescent="0.35">
      <c r="A44" s="14" t="s">
        <v>8</v>
      </c>
      <c r="B44" s="14" t="s">
        <v>101</v>
      </c>
      <c r="C44" s="15">
        <f>D25+2</f>
        <v>6.0188107513304843</v>
      </c>
    </row>
    <row r="45" spans="1:5" x14ac:dyDescent="0.35">
      <c r="B45" s="14" t="s">
        <v>102</v>
      </c>
      <c r="C45" s="15">
        <f>+C44</f>
        <v>6.0188107513304843</v>
      </c>
    </row>
    <row r="46" spans="1:5" x14ac:dyDescent="0.35">
      <c r="B46" s="14" t="s">
        <v>103</v>
      </c>
      <c r="C46" s="14">
        <f>-D26-D21+C15*EXP(-2/12*C16)</f>
        <v>-4.0188107513304914</v>
      </c>
    </row>
    <row r="47" spans="1:5" x14ac:dyDescent="0.35">
      <c r="B47" s="14" t="s">
        <v>104</v>
      </c>
      <c r="C47" s="15">
        <f>C45+C46</f>
        <v>1.9999999999999929</v>
      </c>
    </row>
    <row r="49" spans="2:4" x14ac:dyDescent="0.35">
      <c r="B49" s="14" t="s">
        <v>105</v>
      </c>
      <c r="C49" s="14" t="s">
        <v>106</v>
      </c>
      <c r="D49" s="14" t="s">
        <v>107</v>
      </c>
    </row>
    <row r="50" spans="2:4" x14ac:dyDescent="0.35">
      <c r="B50" s="14" t="s">
        <v>102</v>
      </c>
      <c r="C50" s="14">
        <v>0</v>
      </c>
      <c r="D50" s="14" t="s">
        <v>108</v>
      </c>
    </row>
    <row r="51" spans="2:4" x14ac:dyDescent="0.35">
      <c r="B51" s="14" t="s">
        <v>103</v>
      </c>
      <c r="C51" s="14" t="s">
        <v>109</v>
      </c>
      <c r="D51" s="14" t="s">
        <v>110</v>
      </c>
    </row>
    <row r="52" spans="2:4" x14ac:dyDescent="0.35">
      <c r="B52" s="14" t="s">
        <v>51</v>
      </c>
      <c r="C52" s="14">
        <v>0</v>
      </c>
      <c r="D52" s="14">
        <v>0</v>
      </c>
    </row>
  </sheetData>
  <mergeCells count="5">
    <mergeCell ref="C8:S8"/>
    <mergeCell ref="B3:M4"/>
    <mergeCell ref="C5:P5"/>
    <mergeCell ref="C7:R7"/>
    <mergeCell ref="C6:S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DEC12-12A4-4B40-BC9E-E954F541F0C0}">
  <dimension ref="B1:P6"/>
  <sheetViews>
    <sheetView topLeftCell="A7" workbookViewId="0">
      <selection activeCell="B6" sqref="B6:P6"/>
    </sheetView>
  </sheetViews>
  <sheetFormatPr defaultRowHeight="14.5" x14ac:dyDescent="0.35"/>
  <sheetData>
    <row r="1" spans="2:16" ht="60" customHeight="1" x14ac:dyDescent="0.35">
      <c r="B1" s="25" t="s">
        <v>161</v>
      </c>
      <c r="C1" s="25"/>
      <c r="D1" s="25"/>
      <c r="E1" s="25"/>
      <c r="F1" s="25"/>
      <c r="G1" s="25"/>
      <c r="H1" s="25"/>
      <c r="I1" s="25"/>
      <c r="J1" s="25"/>
      <c r="K1" s="25"/>
      <c r="L1" s="25"/>
      <c r="M1" s="25"/>
      <c r="N1" s="25"/>
    </row>
    <row r="2" spans="2:16" x14ac:dyDescent="0.35">
      <c r="B2" s="21"/>
      <c r="C2" s="21"/>
      <c r="D2" s="21"/>
      <c r="E2" s="21"/>
      <c r="F2" s="21"/>
      <c r="G2" s="21"/>
      <c r="H2" s="21"/>
      <c r="I2" s="21"/>
      <c r="J2" s="21"/>
      <c r="K2" s="21"/>
      <c r="L2" s="21"/>
      <c r="M2" s="21"/>
      <c r="N2" s="21"/>
    </row>
    <row r="3" spans="2:16" x14ac:dyDescent="0.35">
      <c r="B3" t="s">
        <v>162</v>
      </c>
    </row>
    <row r="4" spans="2:16" x14ac:dyDescent="0.35">
      <c r="B4" t="s">
        <v>163</v>
      </c>
    </row>
    <row r="5" spans="2:16" x14ac:dyDescent="0.35">
      <c r="B5" t="s">
        <v>164</v>
      </c>
    </row>
    <row r="6" spans="2:16" ht="45" customHeight="1" x14ac:dyDescent="0.35">
      <c r="B6" s="25" t="s">
        <v>166</v>
      </c>
      <c r="C6" s="25"/>
      <c r="D6" s="25"/>
      <c r="E6" s="25"/>
      <c r="F6" s="25"/>
      <c r="G6" s="25"/>
      <c r="H6" s="25"/>
      <c r="I6" s="25"/>
      <c r="J6" s="25"/>
      <c r="K6" s="25"/>
      <c r="L6" s="25"/>
      <c r="M6" s="25"/>
      <c r="N6" s="25"/>
      <c r="O6" s="25"/>
      <c r="P6" s="25"/>
    </row>
  </sheetData>
  <mergeCells count="2">
    <mergeCell ref="B6:P6"/>
    <mergeCell ref="B1:N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620F-88F5-4072-AFF3-2717B6D4BE58}">
  <dimension ref="A4:T45"/>
  <sheetViews>
    <sheetView tabSelected="1" workbookViewId="0">
      <selection activeCell="I30" sqref="I30"/>
    </sheetView>
  </sheetViews>
  <sheetFormatPr defaultRowHeight="14.5" x14ac:dyDescent="0.35"/>
  <cols>
    <col min="6" max="7" width="11.54296875" bestFit="1" customWidth="1"/>
    <col min="8" max="8" width="12.81640625" bestFit="1" customWidth="1"/>
    <col min="9" max="9" width="20.26953125" bestFit="1" customWidth="1"/>
    <col min="10" max="10" width="22.54296875" bestFit="1" customWidth="1"/>
  </cols>
  <sheetData>
    <row r="4" spans="1:20" x14ac:dyDescent="0.35">
      <c r="A4" s="26" t="s">
        <v>111</v>
      </c>
      <c r="B4" s="27"/>
      <c r="C4" s="27"/>
      <c r="D4" s="27"/>
      <c r="E4" s="27"/>
      <c r="F4" s="27"/>
      <c r="G4" s="27"/>
      <c r="H4" s="27"/>
      <c r="I4" s="28"/>
      <c r="L4" s="29"/>
      <c r="M4" s="29"/>
      <c r="N4" s="29"/>
      <c r="O4" s="29"/>
      <c r="P4" s="29"/>
      <c r="Q4" s="29"/>
      <c r="R4" s="29"/>
      <c r="S4" s="29"/>
      <c r="T4" s="29"/>
    </row>
    <row r="5" spans="1:20" x14ac:dyDescent="0.35">
      <c r="B5" s="10"/>
      <c r="E5" t="s">
        <v>112</v>
      </c>
      <c r="F5" t="s">
        <v>113</v>
      </c>
      <c r="G5" t="s">
        <v>114</v>
      </c>
      <c r="H5" t="s">
        <v>115</v>
      </c>
      <c r="I5" t="s">
        <v>116</v>
      </c>
      <c r="M5" s="11"/>
    </row>
    <row r="6" spans="1:20" x14ac:dyDescent="0.35">
      <c r="A6" t="s">
        <v>117</v>
      </c>
      <c r="B6" s="1">
        <v>0.02</v>
      </c>
      <c r="E6">
        <v>1</v>
      </c>
      <c r="F6">
        <v>20</v>
      </c>
      <c r="G6" s="3">
        <f>F6/(1+$B$9)^E6</f>
        <v>19.047619047619047</v>
      </c>
      <c r="H6" s="3">
        <f>G6/$G$10</f>
        <v>2.1315086275349209E-2</v>
      </c>
      <c r="I6" s="3">
        <f>H6*E6</f>
        <v>2.1315086275349209E-2</v>
      </c>
      <c r="M6" s="1"/>
      <c r="R6" s="3"/>
      <c r="S6" s="3"/>
      <c r="T6" s="3"/>
    </row>
    <row r="7" spans="1:20" x14ac:dyDescent="0.35">
      <c r="A7" t="s">
        <v>118</v>
      </c>
      <c r="B7">
        <v>4</v>
      </c>
      <c r="C7" t="s">
        <v>0</v>
      </c>
      <c r="E7">
        <v>2</v>
      </c>
      <c r="F7">
        <v>20</v>
      </c>
      <c r="G7" s="3">
        <f>F7/(1+$B$9)^E7</f>
        <v>18.140589569160998</v>
      </c>
      <c r="H7" s="3">
        <f>G7/$G$10</f>
        <v>2.0300082166999245E-2</v>
      </c>
      <c r="I7" s="3">
        <f>H7*E7</f>
        <v>4.060016433399849E-2</v>
      </c>
      <c r="R7" s="3"/>
      <c r="S7" s="3"/>
      <c r="T7" s="3"/>
    </row>
    <row r="8" spans="1:20" x14ac:dyDescent="0.35">
      <c r="A8" t="s">
        <v>119</v>
      </c>
      <c r="B8">
        <v>1000</v>
      </c>
      <c r="E8">
        <v>3</v>
      </c>
      <c r="F8">
        <v>20</v>
      </c>
      <c r="G8" s="3">
        <f>F8/(1+$B$9)^E8</f>
        <v>17.276751970629519</v>
      </c>
      <c r="H8" s="3">
        <f>G8/$G$10</f>
        <v>1.9333411587618327E-2</v>
      </c>
      <c r="I8" s="3">
        <f>H8*E8</f>
        <v>5.8000234762854985E-2</v>
      </c>
      <c r="R8" s="3"/>
      <c r="S8" s="3"/>
      <c r="T8" s="3"/>
    </row>
    <row r="9" spans="1:20" x14ac:dyDescent="0.35">
      <c r="A9" t="s">
        <v>120</v>
      </c>
      <c r="B9" s="1">
        <v>0.05</v>
      </c>
      <c r="E9">
        <v>4</v>
      </c>
      <c r="F9">
        <v>1020</v>
      </c>
      <c r="G9" s="3">
        <f>F9/(1+$B$9)^E9</f>
        <v>839.15652428771966</v>
      </c>
      <c r="H9" s="3">
        <f>G9/$G$10</f>
        <v>0.93905141997003316</v>
      </c>
      <c r="I9" s="3">
        <f>H9*E9</f>
        <v>3.7562056798801327</v>
      </c>
      <c r="M9" s="1"/>
      <c r="R9" s="3"/>
      <c r="S9" s="3"/>
      <c r="T9" s="3"/>
    </row>
    <row r="10" spans="1:20" x14ac:dyDescent="0.35">
      <c r="B10" s="1"/>
      <c r="E10" t="s">
        <v>51</v>
      </c>
      <c r="G10" s="3">
        <f>SUM(G6:G9)</f>
        <v>893.62148487512923</v>
      </c>
      <c r="H10" s="3">
        <f>SUM(H6:H9)</f>
        <v>1</v>
      </c>
      <c r="I10" s="3">
        <f>SUM(I6:I9)</f>
        <v>3.8761211652523353</v>
      </c>
      <c r="M10" s="1"/>
      <c r="R10" s="3"/>
      <c r="S10" s="3"/>
      <c r="T10" s="3"/>
    </row>
    <row r="11" spans="1:20" x14ac:dyDescent="0.35">
      <c r="B11" s="1"/>
      <c r="M11" s="1"/>
    </row>
    <row r="12" spans="1:20" x14ac:dyDescent="0.35">
      <c r="B12" s="1"/>
      <c r="M12" s="1"/>
    </row>
    <row r="13" spans="1:20" x14ac:dyDescent="0.35">
      <c r="B13" s="1"/>
      <c r="M13" s="1"/>
    </row>
    <row r="14" spans="1:20" x14ac:dyDescent="0.35">
      <c r="A14" s="30" t="s">
        <v>121</v>
      </c>
      <c r="B14" s="31"/>
      <c r="C14" s="31"/>
      <c r="D14" s="31"/>
      <c r="E14" s="31"/>
      <c r="F14" s="31"/>
      <c r="G14" s="31"/>
      <c r="H14" s="31"/>
      <c r="I14" s="32"/>
      <c r="L14" s="26" t="s">
        <v>122</v>
      </c>
      <c r="M14" s="28"/>
    </row>
    <row r="15" spans="1:20" x14ac:dyDescent="0.35">
      <c r="D15" t="s">
        <v>123</v>
      </c>
      <c r="E15" t="s">
        <v>124</v>
      </c>
      <c r="F15" t="s">
        <v>125</v>
      </c>
      <c r="G15" t="s">
        <v>126</v>
      </c>
      <c r="H15" t="s">
        <v>127</v>
      </c>
      <c r="L15" t="s">
        <v>128</v>
      </c>
      <c r="M15" s="1" t="s">
        <v>129</v>
      </c>
    </row>
    <row r="16" spans="1:20" x14ac:dyDescent="0.35">
      <c r="D16">
        <v>2</v>
      </c>
      <c r="E16">
        <v>30000</v>
      </c>
      <c r="F16" s="3">
        <f>E16/(1+$B$17)^D16</f>
        <v>27210.884353741494</v>
      </c>
      <c r="G16" s="3">
        <f t="shared" ref="G16:G18" si="0">F16/$F$20</f>
        <v>0.15145303990885453</v>
      </c>
      <c r="H16" s="3">
        <f>G16*D16</f>
        <v>0.30290607981770906</v>
      </c>
      <c r="M16" s="1"/>
    </row>
    <row r="17" spans="1:19" x14ac:dyDescent="0.35">
      <c r="A17" t="s">
        <v>130</v>
      </c>
      <c r="B17" s="1">
        <v>0.05</v>
      </c>
      <c r="D17">
        <v>3</v>
      </c>
      <c r="E17">
        <v>30000</v>
      </c>
      <c r="F17" s="3">
        <f t="shared" ref="F17:F19" si="1">E17/(1+$B$17)^D17</f>
        <v>25915.127955944281</v>
      </c>
      <c r="G17" s="3">
        <f t="shared" si="0"/>
        <v>0.14424099038938526</v>
      </c>
      <c r="H17" s="3">
        <f>G17*D17</f>
        <v>0.43272297116815578</v>
      </c>
      <c r="M17" s="1"/>
    </row>
    <row r="18" spans="1:19" x14ac:dyDescent="0.35">
      <c r="D18">
        <v>4</v>
      </c>
      <c r="E18">
        <v>30000</v>
      </c>
      <c r="F18" s="3">
        <f t="shared" si="1"/>
        <v>24681.074243756459</v>
      </c>
      <c r="G18" s="3">
        <f t="shared" si="0"/>
        <v>0.13737237179941456</v>
      </c>
      <c r="H18" s="3">
        <f>G18*D18</f>
        <v>0.54948948719765822</v>
      </c>
      <c r="M18" s="1"/>
    </row>
    <row r="19" spans="1:19" x14ac:dyDescent="0.35">
      <c r="D19">
        <v>5</v>
      </c>
      <c r="E19">
        <v>130000</v>
      </c>
      <c r="F19" s="3">
        <f t="shared" si="1"/>
        <v>101858.40164089967</v>
      </c>
      <c r="G19" s="3">
        <f>F19/$F$20</f>
        <v>0.56693359790234577</v>
      </c>
      <c r="H19" s="3">
        <f>G19*D19</f>
        <v>2.834667989511729</v>
      </c>
      <c r="M19" s="1"/>
    </row>
    <row r="20" spans="1:19" x14ac:dyDescent="0.35">
      <c r="D20" t="s">
        <v>131</v>
      </c>
      <c r="F20" s="3">
        <f>SUM(F16:F19)</f>
        <v>179665.48819434189</v>
      </c>
      <c r="G20" s="3">
        <f>SUM(G16:G19)</f>
        <v>1</v>
      </c>
      <c r="H20" s="3">
        <f>SUM(H16:H19)</f>
        <v>4.1197865276952523</v>
      </c>
      <c r="I20" t="s">
        <v>129</v>
      </c>
      <c r="M20" s="1"/>
    </row>
    <row r="21" spans="1:19" x14ac:dyDescent="0.35">
      <c r="M21" s="1"/>
    </row>
    <row r="22" spans="1:19" x14ac:dyDescent="0.35">
      <c r="B22" s="1"/>
      <c r="M22" s="1"/>
    </row>
    <row r="23" spans="1:19" x14ac:dyDescent="0.35">
      <c r="B23" s="1"/>
      <c r="M23" s="1"/>
    </row>
    <row r="24" spans="1:19" x14ac:dyDescent="0.35">
      <c r="B24" s="1"/>
      <c r="M24" s="1"/>
    </row>
    <row r="25" spans="1:19" x14ac:dyDescent="0.35">
      <c r="A25" s="12"/>
      <c r="B25" s="12"/>
      <c r="C25" s="12"/>
      <c r="D25" s="12"/>
      <c r="E25" s="12"/>
      <c r="F25" s="12"/>
      <c r="G25" s="12"/>
      <c r="H25" s="12"/>
      <c r="I25" s="12"/>
      <c r="K25" s="29"/>
      <c r="L25" s="29"/>
      <c r="M25" s="29"/>
      <c r="N25" s="29"/>
      <c r="O25" s="29"/>
      <c r="P25" s="29"/>
      <c r="Q25" s="29"/>
      <c r="R25" s="29"/>
      <c r="S25" s="29"/>
    </row>
    <row r="26" spans="1:19" x14ac:dyDescent="0.35">
      <c r="B26" t="s">
        <v>171</v>
      </c>
    </row>
    <row r="27" spans="1:19" x14ac:dyDescent="0.35">
      <c r="B27" t="s">
        <v>177</v>
      </c>
    </row>
    <row r="29" spans="1:19" x14ac:dyDescent="0.35">
      <c r="D29" t="s">
        <v>132</v>
      </c>
    </row>
    <row r="30" spans="1:19" x14ac:dyDescent="0.35">
      <c r="B30" s="3"/>
      <c r="C30" t="s">
        <v>111</v>
      </c>
      <c r="D30">
        <f>I10/(1+5%)</f>
        <v>3.6915439669069858</v>
      </c>
      <c r="F30" s="3"/>
      <c r="G30" s="3"/>
      <c r="H30" s="3"/>
      <c r="O30" s="3"/>
      <c r="P30" s="3"/>
      <c r="Q30" s="3"/>
      <c r="R30" s="3"/>
    </row>
    <row r="31" spans="1:19" x14ac:dyDescent="0.35">
      <c r="B31" s="3"/>
      <c r="C31" t="s">
        <v>122</v>
      </c>
      <c r="D31">
        <f>7/(1+5%)</f>
        <v>6.6666666666666661</v>
      </c>
      <c r="F31" s="3"/>
      <c r="G31" s="3"/>
      <c r="H31" s="3"/>
      <c r="O31" s="3"/>
      <c r="P31" s="3"/>
      <c r="Q31" s="3"/>
      <c r="R31" s="3"/>
    </row>
    <row r="32" spans="1:19" x14ac:dyDescent="0.35">
      <c r="B32" s="3"/>
      <c r="C32" t="s">
        <v>133</v>
      </c>
      <c r="D32">
        <f>H20/(1+B9)</f>
        <v>3.9236062168526211</v>
      </c>
      <c r="F32" s="3"/>
      <c r="G32" s="3"/>
      <c r="H32" s="3"/>
      <c r="O32" s="3"/>
      <c r="P32" s="3"/>
      <c r="Q32" s="3"/>
      <c r="R32" s="3"/>
    </row>
    <row r="33" spans="2:12" x14ac:dyDescent="0.35">
      <c r="D33" t="s">
        <v>138</v>
      </c>
      <c r="H33" t="s">
        <v>140</v>
      </c>
      <c r="I33" t="s">
        <v>167</v>
      </c>
      <c r="J33" t="s">
        <v>168</v>
      </c>
    </row>
    <row r="34" spans="2:12" x14ac:dyDescent="0.35">
      <c r="C34" t="s">
        <v>136</v>
      </c>
      <c r="D34">
        <f>(D32-D31)/(D30-D31)</f>
        <v>0.9219990994104611</v>
      </c>
      <c r="E34" t="s">
        <v>134</v>
      </c>
      <c r="H34">
        <f>D34*F20</f>
        <v>165651.41831032405</v>
      </c>
      <c r="I34">
        <f>H34*D30+H35*D31</f>
        <v>704936.62643318111</v>
      </c>
      <c r="J34">
        <f>F20*D32</f>
        <v>704936.62643318099</v>
      </c>
    </row>
    <row r="35" spans="2:12" x14ac:dyDescent="0.35">
      <c r="C35" t="s">
        <v>137</v>
      </c>
      <c r="D35">
        <f>1-D34</f>
        <v>7.8000900589538902E-2</v>
      </c>
      <c r="E35" t="s">
        <v>135</v>
      </c>
      <c r="H35">
        <f>D35*F20</f>
        <v>14014.069884017837</v>
      </c>
    </row>
    <row r="36" spans="2:12" x14ac:dyDescent="0.35">
      <c r="B36" s="9"/>
      <c r="H36">
        <f>SUM(H34:H35)</f>
        <v>179665.48819434189</v>
      </c>
      <c r="L36" s="9"/>
    </row>
    <row r="37" spans="2:12" x14ac:dyDescent="0.35">
      <c r="B37" s="3"/>
      <c r="C37" t="s">
        <v>139</v>
      </c>
      <c r="L37" s="3"/>
    </row>
    <row r="38" spans="2:12" x14ac:dyDescent="0.35">
      <c r="B38" s="9"/>
      <c r="L38" s="9"/>
    </row>
    <row r="39" spans="2:12" x14ac:dyDescent="0.35">
      <c r="E39" s="12"/>
      <c r="F39" s="12"/>
      <c r="G39" s="12"/>
      <c r="H39" s="12"/>
      <c r="I39" s="12"/>
    </row>
    <row r="40" spans="2:12" x14ac:dyDescent="0.35">
      <c r="B40" t="s">
        <v>169</v>
      </c>
    </row>
    <row r="41" spans="2:12" x14ac:dyDescent="0.35">
      <c r="B41" t="s">
        <v>165</v>
      </c>
    </row>
    <row r="42" spans="2:12" x14ac:dyDescent="0.35">
      <c r="H42" t="s">
        <v>167</v>
      </c>
      <c r="I42" t="s">
        <v>168</v>
      </c>
    </row>
    <row r="43" spans="2:12" x14ac:dyDescent="0.35">
      <c r="C43">
        <f>D32*F20/D31</f>
        <v>105740.49396497715</v>
      </c>
      <c r="D43" t="s">
        <v>141</v>
      </c>
      <c r="H43">
        <f>C43*D31</f>
        <v>704936.62643318099</v>
      </c>
      <c r="I43">
        <f>J34</f>
        <v>704936.62643318099</v>
      </c>
    </row>
    <row r="45" spans="2:12" x14ac:dyDescent="0.35">
      <c r="B45" t="s">
        <v>170</v>
      </c>
    </row>
  </sheetData>
  <mergeCells count="5">
    <mergeCell ref="A4:I4"/>
    <mergeCell ref="L4:T4"/>
    <mergeCell ref="A14:I14"/>
    <mergeCell ref="L14:M14"/>
    <mergeCell ref="K25:S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Formula sheet</vt:lpstr>
      <vt:lpstr>Exercise 1</vt:lpstr>
      <vt:lpstr>Exercise 2</vt:lpstr>
      <vt:lpstr>Exercise 3</vt:lpstr>
      <vt:lpstr>Exercise 4</vt:lpstr>
      <vt:lpstr>Exercise 5</vt:lpstr>
      <vt:lpstr>Exercise 6</vt:lpstr>
      <vt:lpstr>Exercise 7</vt:lpstr>
      <vt:lpstr>Solution 7</vt:lpstr>
      <vt:lpstr>'Formula sheet'!OLE_LINK2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martijn boons</dc:creator>
  <cp:lastModifiedBy>Martijn Boons</cp:lastModifiedBy>
  <dcterms:created xsi:type="dcterms:W3CDTF">2015-06-05T18:19:34Z</dcterms:created>
  <dcterms:modified xsi:type="dcterms:W3CDTF">2025-05-05T10:23:10Z</dcterms:modified>
</cp:coreProperties>
</file>