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Dropbox\D-Drive Uni\Teaching\Nova\Investments\Spring 2025\MIdterm\"/>
    </mc:Choice>
  </mc:AlternateContent>
  <xr:revisionPtr revIDLastSave="0" documentId="13_ncr:1_{DCA8C0E4-05CA-4FA2-A799-45D715FAC218}" xr6:coauthVersionLast="47" xr6:coauthVersionMax="47" xr10:uidLastSave="{00000000-0000-0000-0000-000000000000}"/>
  <bookViews>
    <workbookView xWindow="-38520" yWindow="1380" windowWidth="38640" windowHeight="21120" activeTab="5" xr2:uid="{00000000-000D-0000-FFFF-FFFF00000000}"/>
  </bookViews>
  <sheets>
    <sheet name="Exercise 1" sheetId="1" r:id="rId1"/>
    <sheet name="Exercise 2" sheetId="2" r:id="rId2"/>
    <sheet name="Exercise 3" sheetId="3" r:id="rId3"/>
    <sheet name="Exercise 4" sheetId="4" r:id="rId4"/>
    <sheet name="Exercise 5" sheetId="5" r:id="rId5"/>
    <sheet name="Exercis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2" l="1"/>
  <c r="Q6" i="2"/>
  <c r="S4" i="2" s="1" a="1"/>
  <c r="S4" i="2" s="1"/>
  <c r="Q5" i="2"/>
  <c r="Q4" i="2"/>
  <c r="N6" i="2"/>
  <c r="O6" i="2"/>
  <c r="M6" i="2"/>
  <c r="N5" i="2"/>
  <c r="O5" i="2"/>
  <c r="M5" i="2"/>
  <c r="N4" i="2"/>
  <c r="O4" i="2"/>
  <c r="M4" i="2"/>
  <c r="D27" i="4"/>
  <c r="D26" i="4"/>
  <c r="C21" i="4"/>
  <c r="C20" i="4"/>
  <c r="D16" i="3"/>
  <c r="D15" i="3"/>
  <c r="G14" i="2" a="1"/>
  <c r="G14" i="2"/>
  <c r="I15" i="2"/>
  <c r="J15" i="2"/>
  <c r="H15" i="2"/>
  <c r="I14" i="2"/>
  <c r="J14" i="2"/>
  <c r="H14" i="2"/>
  <c r="I5" i="2" a="1"/>
  <c r="I5" i="2" s="1"/>
  <c r="B36" i="1"/>
  <c r="F7" i="1"/>
  <c r="F6" i="1"/>
  <c r="E6" i="1"/>
  <c r="F5" i="1"/>
  <c r="E5" i="1"/>
  <c r="D5" i="1"/>
  <c r="D4" i="1"/>
  <c r="E4" i="1"/>
  <c r="F4" i="1"/>
  <c r="C4" i="1"/>
  <c r="E8" i="1"/>
  <c r="D8" i="1"/>
  <c r="D7" i="1"/>
  <c r="C8" i="1"/>
  <c r="C7" i="1"/>
  <c r="C6" i="1"/>
  <c r="B6" i="1"/>
  <c r="B7" i="1"/>
  <c r="B8" i="1"/>
  <c r="B5" i="1"/>
  <c r="D9" i="1"/>
  <c r="E34" i="1"/>
  <c r="C25" i="1" a="1"/>
  <c r="C25" i="1"/>
  <c r="E33" i="1" s="1"/>
  <c r="F6" i="5"/>
  <c r="G6" i="5"/>
  <c r="H6" i="5"/>
  <c r="I6" i="5"/>
  <c r="E6" i="5"/>
  <c r="F5" i="5"/>
  <c r="G5" i="5"/>
  <c r="H5" i="5"/>
  <c r="I5" i="5"/>
  <c r="E5" i="5"/>
  <c r="G3" i="5"/>
  <c r="H3" i="5" s="1"/>
  <c r="I3" i="5" s="1"/>
  <c r="F3" i="5"/>
  <c r="C4" i="5"/>
  <c r="H10" i="6"/>
  <c r="H9" i="6"/>
  <c r="H8" i="6"/>
  <c r="H7" i="6"/>
  <c r="J6" i="6"/>
  <c r="I6" i="6"/>
  <c r="H6" i="6"/>
  <c r="C9" i="5"/>
  <c r="C26" i="4"/>
  <c r="C25" i="4"/>
  <c r="C24" i="4"/>
  <c r="D19" i="4"/>
  <c r="D18" i="4"/>
  <c r="C19" i="4"/>
  <c r="C18" i="4"/>
  <c r="C17" i="3"/>
  <c r="C16" i="3" a="1"/>
  <c r="C16" i="3" s="1"/>
  <c r="C15" i="3" a="1"/>
  <c r="C15" i="3" s="1"/>
  <c r="B15" i="3" a="1"/>
  <c r="B15" i="3" s="1"/>
  <c r="H9" i="2"/>
  <c r="H11" i="2"/>
  <c r="H10" i="2"/>
  <c r="H8" i="2"/>
  <c r="S6" i="2" l="1"/>
  <c r="S5" i="2"/>
  <c r="H12" i="6"/>
  <c r="I7" i="6"/>
  <c r="J7" i="6" s="1"/>
  <c r="G4" i="2" a="1"/>
  <c r="C104" i="2"/>
  <c r="D104" i="2"/>
  <c r="B104" i="2"/>
  <c r="D103" i="2"/>
  <c r="C103" i="2"/>
  <c r="B103" i="2"/>
  <c r="I8" i="6" l="1"/>
  <c r="J8" i="6" s="1"/>
  <c r="C5" i="5"/>
  <c r="G4" i="2"/>
  <c r="H4" i="2"/>
  <c r="I4" i="2"/>
  <c r="J4" i="2"/>
  <c r="I9" i="6" l="1"/>
  <c r="J9" i="6" s="1"/>
  <c r="J10" i="6" s="1"/>
  <c r="K12" i="6" s="1"/>
  <c r="D6" i="5" l="1"/>
  <c r="B17" i="1" l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C16" i="1"/>
  <c r="D16" i="1"/>
  <c r="E16" i="1"/>
  <c r="F16" i="1"/>
  <c r="B16" i="1"/>
  <c r="C26" i="1" l="1" a="1"/>
  <c r="C26" i="1" s="1"/>
  <c r="C27" i="1" s="1"/>
  <c r="I16" i="1" a="1"/>
  <c r="I16" i="1" s="1"/>
  <c r="E35" i="1" l="1"/>
  <c r="E36" i="1" s="1"/>
  <c r="I17" i="1"/>
  <c r="I18" i="1"/>
  <c r="I19" i="1"/>
  <c r="I20" i="1"/>
  <c r="J17" i="1" l="1"/>
  <c r="J16" i="1"/>
  <c r="J20" i="1"/>
  <c r="J19" i="1"/>
  <c r="J18" i="1"/>
  <c r="B26" i="1" l="1" a="1"/>
  <c r="B26" i="1" s="1"/>
  <c r="B35" i="1" s="1"/>
  <c r="B25" i="1" a="1"/>
  <c r="B25" i="1" s="1"/>
  <c r="B27" i="1" l="1"/>
  <c r="B33" i="1"/>
  <c r="B3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<sst xmlns="http://schemas.openxmlformats.org/spreadsheetml/2006/main" count="162" uniqueCount="126">
  <si>
    <t>Stock 1</t>
  </si>
  <si>
    <t>Stock 2</t>
  </si>
  <si>
    <t>Stock 3</t>
  </si>
  <si>
    <t>Stock 4</t>
  </si>
  <si>
    <t>Stock 5</t>
  </si>
  <si>
    <t>Exp. Exc. Ret.</t>
  </si>
  <si>
    <t>St. Dev.</t>
  </si>
  <si>
    <t>Risk-free</t>
  </si>
  <si>
    <t>Exp. Ret.</t>
  </si>
  <si>
    <t>Corr</t>
  </si>
  <si>
    <t>Step 1</t>
  </si>
  <si>
    <t>Cov</t>
  </si>
  <si>
    <t>wT</t>
  </si>
  <si>
    <t>Calculate the Tangency portfolio weights</t>
  </si>
  <si>
    <t>Step 2</t>
  </si>
  <si>
    <t>Performance statistics of the Tangency portfolio</t>
  </si>
  <si>
    <t>St.Dev.</t>
  </si>
  <si>
    <t>Sharpe</t>
  </si>
  <si>
    <t>Step 3</t>
  </si>
  <si>
    <t>What is the optimal portfolio that combines the five stocks and the risk-free asset and generates an expected return of 20%?</t>
  </si>
  <si>
    <t>Find optimal portfolio on capital allocation line</t>
  </si>
  <si>
    <t>=Rf + y *( E(R_T)-Rf)</t>
  </si>
  <si>
    <t>y</t>
  </si>
  <si>
    <t>in tangency portfolio</t>
  </si>
  <si>
    <t>in risk-free asset</t>
  </si>
  <si>
    <t>Stock</t>
  </si>
  <si>
    <t>Time</t>
  </si>
  <si>
    <t>Alpha</t>
  </si>
  <si>
    <t>Given the excess return data to the left, what is the 3-factor alpha of the stock and what zero-cost trading strategy generates this alpha (per 1$ invested in the stock)?</t>
  </si>
  <si>
    <t>MKT</t>
  </si>
  <si>
    <t>SMB</t>
  </si>
  <si>
    <t>HML</t>
  </si>
  <si>
    <t>$ investment in stock/factors/risk-free</t>
  </si>
  <si>
    <t>MKT-RF</t>
  </si>
  <si>
    <t>Stock-RF</t>
  </si>
  <si>
    <t>RF</t>
  </si>
  <si>
    <t>RMW</t>
  </si>
  <si>
    <t>CMA</t>
  </si>
  <si>
    <t>Covariance matrix</t>
  </si>
  <si>
    <t>Betas</t>
  </si>
  <si>
    <t>Covariance</t>
  </si>
  <si>
    <t>Total variance</t>
  </si>
  <si>
    <t>R1 = a + b R2 + e</t>
  </si>
  <si>
    <t>b</t>
  </si>
  <si>
    <t>Two well-diversified portfolios have the following betas with respect to the five Fama-French factors. If all remaining variation in the two portfolios is idiosyncratic and  this idiosyncratic volatility equals 10% (idiosyncratic variance = 1%), what is the beta coefficient in a regression of Portfolio 1 (dependent variable) on Portfolio 2 (independent variable)?</t>
  </si>
  <si>
    <t>This question is about a two-factor APT model, where the first factor is assumed to be the excess market return, formally written as:</t>
  </si>
  <si>
    <t xml:space="preserve"> (Model (1))</t>
  </si>
  <si>
    <t xml:space="preserve">Exp. Excess Ret. </t>
  </si>
  <si>
    <t>Portfolio A</t>
  </si>
  <si>
    <t>Portfolio B</t>
  </si>
  <si>
    <t>MKT=F1</t>
  </si>
  <si>
    <t>F2</t>
  </si>
  <si>
    <t>Corr(RA,RB)</t>
  </si>
  <si>
    <t>A</t>
  </si>
  <si>
    <t>B</t>
  </si>
  <si>
    <t>Model implied return</t>
  </si>
  <si>
    <t>Mispriced relative to the two-factor model, as it is overpriced (alpha&lt;0)</t>
  </si>
  <si>
    <t>Mispriced relative to the two-factor model, as it is underpriced (alpha&gt;0)</t>
  </si>
  <si>
    <r>
      <rPr>
        <sz val="7"/>
        <color rgb="FF000000"/>
        <rFont val="Times New Roman"/>
        <family val="1"/>
      </rPr>
      <t xml:space="preserve">Q1   </t>
    </r>
    <r>
      <rPr>
        <sz val="12"/>
        <color rgb="FF000000"/>
        <rFont val="Times New Roman"/>
        <family val="1"/>
      </rPr>
      <t xml:space="preserve">Does the two-factor APT model predict the returns of portfolios A and B correctly? </t>
    </r>
  </si>
  <si>
    <t>Q2</t>
  </si>
  <si>
    <t>Var</t>
  </si>
  <si>
    <t>std</t>
  </si>
  <si>
    <t xml:space="preserve">What is the 5%-Value at Risk (expressed as an excess return) for an investment of 1 million Euros in an equal-weighted portfolio of A and B? </t>
  </si>
  <si>
    <t>VAR(5%)</t>
  </si>
  <si>
    <t xml:space="preserve">the 5% value at risk is equal to -160K, so if returns are normally distributed we would expect a loss larger than 160K in 5% of the cases.  </t>
  </si>
  <si>
    <t xml:space="preserve">Hakim is 25 years old and has no savings. His salary for the coming year is 50000. He believes his salary will grow at a rate of 2% per year. What fraction of his salary must he save for him to be able to buy a Tesla that costs 75000 when he is 30 (i.e., in five years)? The interest rate (EAR) is 3% per year. </t>
  </si>
  <si>
    <t>Salary</t>
  </si>
  <si>
    <t>Savings</t>
  </si>
  <si>
    <t>first</t>
  </si>
  <si>
    <t>FV</t>
  </si>
  <si>
    <t>r</t>
  </si>
  <si>
    <t>g</t>
  </si>
  <si>
    <t>PV</t>
  </si>
  <si>
    <t>PV Growing Annuity = C / (r-g) * (1 - (1+r)^5/(1+g)^5)</t>
  </si>
  <si>
    <t>The fraction of his salary that Hakim must save is 27.2%.</t>
  </si>
  <si>
    <t>The fraction of his salary that Hakim must save is 31.5%.</t>
  </si>
  <si>
    <t>The fraction of his salary that Hakim must save is 28.3%.</t>
  </si>
  <si>
    <t>The fraction of his salary that Hakim must save is 42.5%.</t>
  </si>
  <si>
    <t xml:space="preserve">Consider the following price and dividend data for a stock. </t>
  </si>
  <si>
    <t>Method 1</t>
  </si>
  <si>
    <t>Method 2</t>
  </si>
  <si>
    <t>Price</t>
  </si>
  <si>
    <t>Dividend</t>
  </si>
  <si>
    <t>1+Return</t>
  </si>
  <si>
    <t>Dividends when reinvested in the stock</t>
  </si>
  <si>
    <t># of stocks you own</t>
  </si>
  <si>
    <t>Today</t>
  </si>
  <si>
    <t>Return</t>
  </si>
  <si>
    <t>=Product(annual returns)</t>
  </si>
  <si>
    <t>=1.153861*16.30/10-1</t>
  </si>
  <si>
    <t>The total return is 88%.</t>
  </si>
  <si>
    <t>The total return is 63%.</t>
  </si>
  <si>
    <t>The total return is 82%.</t>
  </si>
  <si>
    <t>The total return is 92%.</t>
  </si>
  <si>
    <t>What is the total return from buying one stock today at the price of 10$ and holding it until July 23 assuming you reinvest all dividends in the stock?</t>
  </si>
  <si>
    <t>Q1 What is the optimal portfolio that combines the five stocks and the risk-free asset and generates an expected return of 20%?</t>
  </si>
  <si>
    <t>C</t>
  </si>
  <si>
    <t>D</t>
  </si>
  <si>
    <t>wM</t>
  </si>
  <si>
    <t>The optimal portfolio invests 225% in stock 3 and  borrows 125% at the risk-free rate and obtains a Sharpe ratio of 0.53.</t>
  </si>
  <si>
    <t>corr</t>
  </si>
  <si>
    <t>The optimal portfolio invests 180% in the tangency portfolio of the five stocks and  borrows 80% at the risk-free rate and obtains a Sharpe ratio of 0.60.</t>
  </si>
  <si>
    <t>The optimal portfolios invests 375% in the market portfolio of the five stocks and borrows 275% at the risk-free rate and obtains a Sharpe ratio of 0.41.</t>
  </si>
  <si>
    <t>The optimal portfolio invests 200% in the tangency portfolio of the five stocks and  borrows 100% at the risk-free rate and obtains a Sharpe ratio of 0.66.</t>
  </si>
  <si>
    <t>The alpha equals 2% and is generated by a strategy that invests 1$ in the stock, -0.91$ in the market, -0.68 in SMB, 0.71 in HML, -0.09 in the risk-free asset</t>
  </si>
  <si>
    <t>The alpha equals 2% and is generated by a strategy that invests 1$ in the stock, 0.91$ in the market, 0.68 in SMB, -0.71 in HML, -0.09 in the risk-free asset.</t>
  </si>
  <si>
    <t>The alpha equals 6.2% and is generated by a strategy that invests 1$ in the stock, -0.70$ in the market and nothing in SMB and HML.</t>
  </si>
  <si>
    <t>The alpha equals 5% and is generated by a strategy that invests 1$ in the stock, -0.69$ in the market, -0.49 in SMB, +0.65 in HML, -0.31 in the risk-free asset</t>
  </si>
  <si>
    <t>The beta in R_P1 = alpha + beta * R_P2 + residual equals 0.32.</t>
  </si>
  <si>
    <t>The beta in R_P1 = alpha + beta * R_P2 + residual equals -0.7.</t>
  </si>
  <si>
    <t>The beta in R_P1 = alpha + beta * R_P2 + residual equals 0.53.</t>
  </si>
  <si>
    <t>The beta in R_P1 = alpha + beta * R_P2 + residual equals 0.60.</t>
  </si>
  <si>
    <t>Yes, the two-factor model is correct.</t>
  </si>
  <si>
    <t>No, Portfolio A is underpriced with an alpha of 1.1%, while portfolio B is overpriced with an alpha of -3.1%.</t>
  </si>
  <si>
    <t>No, Portfolio A is overpriced with an alpha of 1.1%, while portfolio B is underpriced with an alpha of -3.1%.</t>
  </si>
  <si>
    <t>No, Portfolio A is underpriced with an alpha of 1.6%, while portfolio B is overpriced with an alpha of -4.4%.</t>
  </si>
  <si>
    <t xml:space="preserve">The 5% value at risk is represented by an excess return of -16.5%, so if returns are normally distributed we would expect a loss larger than 165,000 in 5% of the cases.  </t>
  </si>
  <si>
    <t xml:space="preserve">The 5% value at risk is represented by an excess return of -12.3%, so if returns are normally distributed we would expect a loss larger than 123,000 in 5% of the cases.  </t>
  </si>
  <si>
    <t xml:space="preserve">The 5% value at risk is represented by an excess return of -16.5%, so we would expect a loss larger than 165,000 in 5% of the cases regardless of the distribution of the portfolio returns.  </t>
  </si>
  <si>
    <t xml:space="preserve">The 5% value at risk is represented by an excess return of -23.6%, so  if returns are normally distributed we would expect a loss larger than 236,000 in 5% of the cases.  </t>
  </si>
  <si>
    <t>Using LINEST (note, coefficients in reverse order)</t>
  </si>
  <si>
    <t>Using matrices:</t>
  </si>
  <si>
    <t>beta MKT</t>
  </si>
  <si>
    <t>beta SMB</t>
  </si>
  <si>
    <t>beta HML</t>
  </si>
  <si>
    <t>alpha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</si>
</sst>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0.0000"/>
    <numFmt numFmtId="166" formatCode="0.000"/>
    <numFmt numFmtId="167" formatCode="0.000000"/>
    <numFmt numFmtId="168" formatCode="0.000000000000000%"/>
    <numFmt numFmtId="169" formatCode="0.000%"/>
  </numFmts>
  <fonts count="7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9" fontId="0" fillId="0" borderId="0" xfId="0" applyNumberFormat="1"/>
    <xf numFmtId="2" fontId="0" fillId="0" borderId="0" xfId="0" applyNumberFormat="1"/>
    <xf numFmtId="0" fontId="0" fillId="0" borderId="0" xfId="0" quotePrefix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9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0" fontId="0" fillId="3" borderId="0" xfId="0" applyFill="1" applyAlignment="1">
      <alignment vertical="top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indent="5"/>
    </xf>
    <xf numFmtId="0" fontId="0" fillId="4" borderId="0" xfId="0" applyFill="1"/>
    <xf numFmtId="167" fontId="0" fillId="0" borderId="0" xfId="0" applyNumberFormat="1"/>
    <xf numFmtId="17" fontId="0" fillId="0" borderId="0" xfId="0" applyNumberFormat="1"/>
    <xf numFmtId="164" fontId="0" fillId="0" borderId="0" xfId="0" quotePrefix="1" applyNumberForma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168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9" fontId="0" fillId="0" borderId="0" xfId="0" applyNumberForma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0" fillId="2" borderId="0" xfId="0" applyFill="1" applyAlignment="1">
      <alignment vertical="top"/>
    </xf>
    <xf numFmtId="0" fontId="0" fillId="2" borderId="1" xfId="0" applyFill="1" applyBorder="1" applyAlignment="1">
      <alignment vertical="top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4" borderId="0" xfId="0" applyFont="1" applyFill="1" applyAlignment="1">
      <alignment wrapText="1"/>
    </xf>
    <xf numFmtId="0" fontId="6" fillId="4" borderId="0" xfId="0" applyFont="1" applyFill="1"/>
    <xf numFmtId="1" fontId="0" fillId="4" borderId="0" xfId="0" applyNumberFormat="1" applyFill="1"/>
    <xf numFmtId="2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0</xdr:rowOff>
    </xdr:from>
    <xdr:to>
      <xdr:col>4</xdr:col>
      <xdr:colOff>371475</xdr:colOff>
      <xdr:row>7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FDEA88-DEA6-7399-4E0A-F9222109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171575"/>
          <a:ext cx="19526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workbookViewId="0">
      <selection activeCell="A42" sqref="A42"/>
    </sheetView>
  </sheetViews>
  <sheetFormatPr defaultRowHeight="14.5" x14ac:dyDescent="0.35"/>
  <cols>
    <col min="1" max="1" width="12.54296875" bestFit="1" customWidth="1"/>
    <col min="4" max="4" width="20" bestFit="1" customWidth="1"/>
  </cols>
  <sheetData>
    <row r="1" spans="1:11" x14ac:dyDescent="0.3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7</v>
      </c>
    </row>
    <row r="2" spans="1:11" x14ac:dyDescent="0.35">
      <c r="A2" t="s">
        <v>8</v>
      </c>
      <c r="B2" s="1">
        <v>0.06</v>
      </c>
      <c r="C2" s="1">
        <v>0.08</v>
      </c>
      <c r="D2" s="1">
        <v>0.1</v>
      </c>
      <c r="E2" s="1">
        <v>0.04</v>
      </c>
      <c r="F2" s="1">
        <v>0.06</v>
      </c>
      <c r="G2" s="1">
        <v>0.02</v>
      </c>
      <c r="H2" s="1"/>
    </row>
    <row r="3" spans="1:11" x14ac:dyDescent="0.35">
      <c r="A3" t="s">
        <v>6</v>
      </c>
      <c r="B3" s="1">
        <v>0.15</v>
      </c>
      <c r="C3" s="1">
        <v>0.15</v>
      </c>
      <c r="D3" s="1">
        <v>0.15</v>
      </c>
      <c r="E3" s="1">
        <v>0.15</v>
      </c>
      <c r="F3" s="1">
        <v>0.15</v>
      </c>
      <c r="G3" s="1"/>
    </row>
    <row r="4" spans="1:11" x14ac:dyDescent="0.35">
      <c r="A4" t="s">
        <v>9</v>
      </c>
      <c r="B4">
        <v>1</v>
      </c>
      <c r="C4">
        <f>$I$4</f>
        <v>0.5</v>
      </c>
      <c r="D4">
        <f t="shared" ref="D4:F7" si="0">$I$4</f>
        <v>0.5</v>
      </c>
      <c r="E4">
        <f t="shared" si="0"/>
        <v>0.5</v>
      </c>
      <c r="F4">
        <f t="shared" si="0"/>
        <v>0.5</v>
      </c>
      <c r="H4" t="s">
        <v>100</v>
      </c>
      <c r="I4">
        <v>0.5</v>
      </c>
    </row>
    <row r="5" spans="1:11" x14ac:dyDescent="0.35">
      <c r="B5">
        <f>$I$4</f>
        <v>0.5</v>
      </c>
      <c r="C5">
        <v>1</v>
      </c>
      <c r="D5">
        <f t="shared" si="0"/>
        <v>0.5</v>
      </c>
      <c r="E5">
        <f t="shared" si="0"/>
        <v>0.5</v>
      </c>
      <c r="F5">
        <f t="shared" si="0"/>
        <v>0.5</v>
      </c>
    </row>
    <row r="6" spans="1:11" x14ac:dyDescent="0.35">
      <c r="B6">
        <f t="shared" ref="B6:E8" si="1">$I$4</f>
        <v>0.5</v>
      </c>
      <c r="C6">
        <f t="shared" si="1"/>
        <v>0.5</v>
      </c>
      <c r="D6">
        <v>1</v>
      </c>
      <c r="E6">
        <f t="shared" si="0"/>
        <v>0.5</v>
      </c>
      <c r="F6">
        <f t="shared" si="0"/>
        <v>0.5</v>
      </c>
    </row>
    <row r="7" spans="1:11" x14ac:dyDescent="0.35">
      <c r="B7">
        <f t="shared" si="1"/>
        <v>0.5</v>
      </c>
      <c r="C7">
        <f t="shared" si="1"/>
        <v>0.5</v>
      </c>
      <c r="D7">
        <f t="shared" si="1"/>
        <v>0.5</v>
      </c>
      <c r="E7">
        <v>1</v>
      </c>
      <c r="F7">
        <f t="shared" si="0"/>
        <v>0.5</v>
      </c>
    </row>
    <row r="8" spans="1:11" x14ac:dyDescent="0.35">
      <c r="B8">
        <f t="shared" si="1"/>
        <v>0.5</v>
      </c>
      <c r="C8">
        <f t="shared" si="1"/>
        <v>0.5</v>
      </c>
      <c r="D8">
        <f t="shared" si="1"/>
        <v>0.5</v>
      </c>
      <c r="E8">
        <f t="shared" si="1"/>
        <v>0.5</v>
      </c>
      <c r="F8">
        <v>1</v>
      </c>
    </row>
    <row r="9" spans="1:11" x14ac:dyDescent="0.35">
      <c r="D9" s="7">
        <f>8%/D3</f>
        <v>0.53333333333333333</v>
      </c>
    </row>
    <row r="10" spans="1:11" x14ac:dyDescent="0.35">
      <c r="A10" t="s">
        <v>19</v>
      </c>
    </row>
    <row r="13" spans="1:11" x14ac:dyDescent="0.35">
      <c r="A13" t="s">
        <v>10</v>
      </c>
    </row>
    <row r="14" spans="1:11" x14ac:dyDescent="0.35">
      <c r="A14" t="s">
        <v>13</v>
      </c>
    </row>
    <row r="15" spans="1:11" x14ac:dyDescent="0.35">
      <c r="J15" t="s">
        <v>12</v>
      </c>
      <c r="K15" t="s">
        <v>98</v>
      </c>
    </row>
    <row r="16" spans="1:11" x14ac:dyDescent="0.35">
      <c r="A16" t="s">
        <v>11</v>
      </c>
      <c r="B16">
        <f>B4*$B$3^2</f>
        <v>2.2499999999999999E-2</v>
      </c>
      <c r="C16">
        <f t="shared" ref="C16:F16" si="2">C4*$B$3^2</f>
        <v>1.125E-2</v>
      </c>
      <c r="D16">
        <f t="shared" si="2"/>
        <v>1.125E-2</v>
      </c>
      <c r="E16">
        <f t="shared" si="2"/>
        <v>1.125E-2</v>
      </c>
      <c r="F16">
        <f t="shared" si="2"/>
        <v>1.125E-2</v>
      </c>
      <c r="I16" s="2">
        <f t="array" ref="I16:I20">MMULT(MINVERSE(B16:F20),TRANSPOSE(B2:F2)-G2)</f>
        <v>0</v>
      </c>
      <c r="J16" s="2">
        <f>I16/SUM($I$16:$I$20)</f>
        <v>0</v>
      </c>
      <c r="K16">
        <v>0.2</v>
      </c>
    </row>
    <row r="17" spans="1:11" x14ac:dyDescent="0.35">
      <c r="B17">
        <f t="shared" ref="B17:F17" si="3">B5*$B$3^2</f>
        <v>1.125E-2</v>
      </c>
      <c r="C17">
        <f t="shared" si="3"/>
        <v>2.2499999999999999E-2</v>
      </c>
      <c r="D17">
        <f t="shared" si="3"/>
        <v>1.125E-2</v>
      </c>
      <c r="E17">
        <f t="shared" si="3"/>
        <v>1.125E-2</v>
      </c>
      <c r="F17">
        <f t="shared" si="3"/>
        <v>1.125E-2</v>
      </c>
      <c r="I17" s="2">
        <v>1.7777777777777775</v>
      </c>
      <c r="J17" s="2">
        <f t="shared" ref="J17:J20" si="4">I17/SUM($I$16:$I$20)</f>
        <v>0.49999999999999983</v>
      </c>
      <c r="K17">
        <v>0.2</v>
      </c>
    </row>
    <row r="18" spans="1:11" x14ac:dyDescent="0.35">
      <c r="B18">
        <f t="shared" ref="B18:F18" si="5">B6*$B$3^2</f>
        <v>1.125E-2</v>
      </c>
      <c r="C18">
        <f t="shared" si="5"/>
        <v>1.125E-2</v>
      </c>
      <c r="D18">
        <f t="shared" si="5"/>
        <v>2.2499999999999999E-2</v>
      </c>
      <c r="E18">
        <f t="shared" si="5"/>
        <v>1.125E-2</v>
      </c>
      <c r="F18">
        <f t="shared" si="5"/>
        <v>1.125E-2</v>
      </c>
      <c r="I18" s="2">
        <v>3.5555555555555562</v>
      </c>
      <c r="J18" s="2">
        <f t="shared" si="4"/>
        <v>1</v>
      </c>
      <c r="K18">
        <v>0.2</v>
      </c>
    </row>
    <row r="19" spans="1:11" x14ac:dyDescent="0.35">
      <c r="B19">
        <f t="shared" ref="B19:F19" si="6">B7*$B$3^2</f>
        <v>1.125E-2</v>
      </c>
      <c r="C19">
        <f t="shared" si="6"/>
        <v>1.125E-2</v>
      </c>
      <c r="D19">
        <f t="shared" si="6"/>
        <v>1.125E-2</v>
      </c>
      <c r="E19">
        <f t="shared" si="6"/>
        <v>2.2499999999999999E-2</v>
      </c>
      <c r="F19">
        <f t="shared" si="6"/>
        <v>1.125E-2</v>
      </c>
      <c r="I19" s="2">
        <v>-1.7777777777777772</v>
      </c>
      <c r="J19" s="2">
        <f t="shared" si="4"/>
        <v>-0.49999999999999978</v>
      </c>
      <c r="K19">
        <v>0.2</v>
      </c>
    </row>
    <row r="20" spans="1:11" x14ac:dyDescent="0.35">
      <c r="B20">
        <f t="shared" ref="B20:F20" si="7">B8*$B$3^2</f>
        <v>1.125E-2</v>
      </c>
      <c r="C20">
        <f t="shared" si="7"/>
        <v>1.125E-2</v>
      </c>
      <c r="D20">
        <f t="shared" si="7"/>
        <v>1.125E-2</v>
      </c>
      <c r="E20">
        <f t="shared" si="7"/>
        <v>1.125E-2</v>
      </c>
      <c r="F20">
        <f t="shared" si="7"/>
        <v>2.2499999999999999E-2</v>
      </c>
      <c r="I20" s="2">
        <v>-4.4408920985006262E-16</v>
      </c>
      <c r="J20" s="2">
        <f t="shared" si="4"/>
        <v>-1.2490009027033009E-16</v>
      </c>
      <c r="K20">
        <v>0.2</v>
      </c>
    </row>
    <row r="22" spans="1:11" x14ac:dyDescent="0.35">
      <c r="A22" t="s">
        <v>14</v>
      </c>
    </row>
    <row r="23" spans="1:11" x14ac:dyDescent="0.35">
      <c r="A23" t="s">
        <v>15</v>
      </c>
    </row>
    <row r="25" spans="1:11" x14ac:dyDescent="0.35">
      <c r="A25" t="s">
        <v>5</v>
      </c>
      <c r="B25" s="1" cm="1">
        <f t="array" ref="B25">MMULT(B2:F2,J16:J20)-G2</f>
        <v>9.9999999999999978E-2</v>
      </c>
      <c r="C25" s="1" cm="1">
        <f t="array" ref="C25">MMULT(B2:F2,K16:K20)-G2</f>
        <v>4.8000000000000001E-2</v>
      </c>
    </row>
    <row r="26" spans="1:11" x14ac:dyDescent="0.35">
      <c r="A26" t="s">
        <v>16</v>
      </c>
      <c r="B26" cm="1">
        <f t="array" ref="B26">SQRT(MMULT(MMULT(TRANSPOSE(J16:J20),B16:F20),J16:J20))</f>
        <v>0.1677050983124842</v>
      </c>
      <c r="C26" cm="1">
        <f t="array" ref="C26">SQRT(MMULT(MMULT(TRANSPOSE(K16:K20),B16:F20),K16:K20))</f>
        <v>0.1161895003862225</v>
      </c>
    </row>
    <row r="27" spans="1:11" x14ac:dyDescent="0.35">
      <c r="A27" t="s">
        <v>17</v>
      </c>
      <c r="B27">
        <f>B25/B26</f>
        <v>0.59628479399994383</v>
      </c>
      <c r="C27">
        <f>C25/C26</f>
        <v>0.41311822359545786</v>
      </c>
    </row>
    <row r="29" spans="1:11" x14ac:dyDescent="0.35">
      <c r="A29" t="s">
        <v>18</v>
      </c>
    </row>
    <row r="30" spans="1:11" x14ac:dyDescent="0.35">
      <c r="A30" t="s">
        <v>20</v>
      </c>
    </row>
    <row r="32" spans="1:11" x14ac:dyDescent="0.35">
      <c r="A32" t="s">
        <v>8</v>
      </c>
      <c r="B32" s="1">
        <v>0.2</v>
      </c>
      <c r="C32" s="3" t="s">
        <v>21</v>
      </c>
    </row>
    <row r="33" spans="1:12" x14ac:dyDescent="0.35">
      <c r="A33" t="s">
        <v>22</v>
      </c>
      <c r="B33" s="2">
        <f>(20%-G2)/B25</f>
        <v>1.8000000000000007</v>
      </c>
      <c r="C33" t="s">
        <v>23</v>
      </c>
      <c r="E33" s="1">
        <f>(B32-G2)/C25</f>
        <v>3.7500000000000004</v>
      </c>
    </row>
    <row r="34" spans="1:12" x14ac:dyDescent="0.35">
      <c r="B34" s="2">
        <f>1-B33</f>
        <v>-0.80000000000000071</v>
      </c>
      <c r="C34" t="s">
        <v>24</v>
      </c>
      <c r="E34" s="2">
        <f>1-E33</f>
        <v>-2.7500000000000004</v>
      </c>
    </row>
    <row r="35" spans="1:12" x14ac:dyDescent="0.35">
      <c r="A35" t="s">
        <v>16</v>
      </c>
      <c r="B35">
        <f>1.8*B26</f>
        <v>0.30186917696247156</v>
      </c>
      <c r="E35">
        <f>E33*C26</f>
        <v>0.43571062644833441</v>
      </c>
    </row>
    <row r="36" spans="1:12" x14ac:dyDescent="0.35">
      <c r="A36" t="s">
        <v>17</v>
      </c>
      <c r="B36">
        <f>(B32-G2)/B35</f>
        <v>0.59628479399994405</v>
      </c>
      <c r="E36">
        <f>(20%-G2)/E35</f>
        <v>0.41311822359545786</v>
      </c>
    </row>
    <row r="38" spans="1:12" ht="14.5" customHeight="1" x14ac:dyDescent="0.35">
      <c r="A38" s="31" t="s">
        <v>95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2" x14ac:dyDescent="0.35">
      <c r="A39" s="25"/>
      <c r="B39" s="24"/>
      <c r="C39" s="24"/>
      <c r="D39" s="24"/>
      <c r="E39" s="24"/>
      <c r="F39" s="24"/>
      <c r="G39" s="24"/>
      <c r="H39" s="24"/>
      <c r="I39" s="24"/>
      <c r="J39" s="24"/>
      <c r="K39" s="26"/>
      <c r="L39" s="26"/>
    </row>
    <row r="40" spans="1:12" ht="22.5" customHeight="1" x14ac:dyDescent="0.35">
      <c r="A40" s="25" t="s">
        <v>53</v>
      </c>
      <c r="B40" s="31" t="s">
        <v>99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12" x14ac:dyDescent="0.35">
      <c r="A41" s="25" t="s">
        <v>54</v>
      </c>
      <c r="B41" s="28" t="s">
        <v>102</v>
      </c>
      <c r="C41" s="28"/>
      <c r="D41" s="28"/>
      <c r="E41" s="28"/>
      <c r="F41" s="28"/>
      <c r="G41" s="28"/>
      <c r="H41" s="28"/>
      <c r="I41" s="28"/>
      <c r="J41" s="28"/>
      <c r="K41" s="29"/>
      <c r="L41" s="29"/>
    </row>
    <row r="42" spans="1:12" x14ac:dyDescent="0.35">
      <c r="A42" s="37" t="s">
        <v>96</v>
      </c>
      <c r="B42" s="31" t="s">
        <v>101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2" ht="14.5" customHeight="1" x14ac:dyDescent="0.35">
      <c r="A43" s="25" t="s">
        <v>97</v>
      </c>
      <c r="B43" s="31" t="s">
        <v>103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</row>
  </sheetData>
  <mergeCells count="4">
    <mergeCell ref="A38:L38"/>
    <mergeCell ref="B40:L40"/>
    <mergeCell ref="B42:L42"/>
    <mergeCell ref="B43:L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D9C93-1401-4069-BE49-F65E03E96F63}">
  <dimension ref="A1:X104"/>
  <sheetViews>
    <sheetView workbookViewId="0">
      <selection activeCell="S7" sqref="S7"/>
    </sheetView>
  </sheetViews>
  <sheetFormatPr defaultRowHeight="14.5" x14ac:dyDescent="0.35"/>
  <cols>
    <col min="2" max="2" width="21.1796875" bestFit="1" customWidth="1"/>
  </cols>
  <sheetData>
    <row r="1" spans="1:19" x14ac:dyDescent="0.35">
      <c r="A1" t="s">
        <v>26</v>
      </c>
      <c r="B1" t="s">
        <v>33</v>
      </c>
      <c r="C1" t="s">
        <v>30</v>
      </c>
      <c r="D1" t="s">
        <v>31</v>
      </c>
      <c r="E1" t="s">
        <v>34</v>
      </c>
      <c r="G1" t="s">
        <v>28</v>
      </c>
    </row>
    <row r="2" spans="1:19" x14ac:dyDescent="0.35">
      <c r="A2">
        <v>1</v>
      </c>
      <c r="B2" s="2">
        <v>0.37601131992476566</v>
      </c>
      <c r="C2" s="2">
        <v>-6.3200948043592428E-2</v>
      </c>
      <c r="D2" s="2">
        <v>8.4908263628903705E-2</v>
      </c>
      <c r="E2">
        <v>0.65984020684099787</v>
      </c>
      <c r="G2" t="s">
        <v>120</v>
      </c>
      <c r="M2" t="s">
        <v>121</v>
      </c>
    </row>
    <row r="3" spans="1:19" x14ac:dyDescent="0.35">
      <c r="A3">
        <v>2</v>
      </c>
      <c r="B3" s="2">
        <v>0.10744700659683427</v>
      </c>
      <c r="C3" s="2">
        <v>0.35808370768393838</v>
      </c>
      <c r="D3" s="2">
        <v>0.16810564027150254</v>
      </c>
      <c r="E3">
        <v>0.79547409373314359</v>
      </c>
      <c r="G3">
        <v>3</v>
      </c>
      <c r="H3">
        <v>2</v>
      </c>
      <c r="I3">
        <v>1</v>
      </c>
      <c r="J3" t="s">
        <v>27</v>
      </c>
    </row>
    <row r="4" spans="1:19" x14ac:dyDescent="0.35">
      <c r="A4">
        <v>3</v>
      </c>
      <c r="B4" s="2">
        <v>-8.8549214823117339E-3</v>
      </c>
      <c r="C4" s="2">
        <v>7.9159997105574281E-2</v>
      </c>
      <c r="D4" s="2">
        <v>5.3101649768070511E-2</v>
      </c>
      <c r="E4">
        <v>0.10188896094310232</v>
      </c>
      <c r="G4">
        <f t="array" ref="G4:J4">LINEST(E2:E101,B2:D101,TRUE)</f>
        <v>-0.7122252080604381</v>
      </c>
      <c r="H4">
        <v>0.68112517686910279</v>
      </c>
      <c r="I4">
        <v>0.90783206080488299</v>
      </c>
      <c r="J4">
        <v>1.9662475079632383E-2</v>
      </c>
      <c r="M4">
        <f>COVAR($B$2:$B$101,B2:B101)</f>
        <v>2.3821122152158168E-2</v>
      </c>
      <c r="N4">
        <f t="shared" ref="N4:O4" si="0">COVAR($B$2:$B$101,C2:C101)</f>
        <v>-5.2864902901166447E-3</v>
      </c>
      <c r="O4">
        <f t="shared" si="0"/>
        <v>1.9899902055808272E-3</v>
      </c>
      <c r="Q4">
        <f>COVAR(B2:B101,$E$2:$E$101)</f>
        <v>1.6607495591998062E-2</v>
      </c>
      <c r="R4" t="s">
        <v>122</v>
      </c>
      <c r="S4">
        <f t="array" ref="S4:S6">MMULT(MINVERSE(M4:O6),Q4:Q6)</f>
        <v>0.90783206080488288</v>
      </c>
    </row>
    <row r="5" spans="1:19" x14ac:dyDescent="0.35">
      <c r="A5">
        <v>4</v>
      </c>
      <c r="B5" s="2">
        <v>-5.7814023302665579E-2</v>
      </c>
      <c r="C5" s="2">
        <v>7.6786706177753836E-2</v>
      </c>
      <c r="D5" s="2">
        <v>0.20502018193684213</v>
      </c>
      <c r="E5">
        <v>-0.15686421281712254</v>
      </c>
      <c r="I5" cm="1">
        <f t="array" ref="I5:J5">LINEST(E2:E101,B2:B101,TRUE)</f>
        <v>0.69717519963657304</v>
      </c>
      <c r="J5">
        <v>6.1800486038576345E-2</v>
      </c>
      <c r="M5">
        <f>COVAR($C$2:$C$101,B2:B101)</f>
        <v>-5.2864902901166447E-3</v>
      </c>
      <c r="N5">
        <f t="shared" ref="N5:O5" si="1">COVAR($C$2:$C$101,C2:C101)</f>
        <v>2.2988008476176061E-2</v>
      </c>
      <c r="O5">
        <f t="shared" si="1"/>
        <v>-8.6778579449800063E-4</v>
      </c>
      <c r="Q5">
        <f>COVAR(C2:C101,$E$2:$E$101)</f>
        <v>1.1476524882740485E-2</v>
      </c>
      <c r="R5" t="s">
        <v>123</v>
      </c>
      <c r="S5">
        <v>0.68112517686910268</v>
      </c>
    </row>
    <row r="6" spans="1:19" x14ac:dyDescent="0.35">
      <c r="A6">
        <v>5</v>
      </c>
      <c r="B6" s="2">
        <v>-5.2015528569180347E-3</v>
      </c>
      <c r="C6" s="2">
        <v>5.7776761102299692E-2</v>
      </c>
      <c r="D6" s="2">
        <v>-0.15468463325290568</v>
      </c>
      <c r="E6">
        <v>0.20998318339931432</v>
      </c>
      <c r="H6" t="s">
        <v>32</v>
      </c>
      <c r="I6" s="4"/>
      <c r="M6">
        <f>COVAR($D$2:$D$101,B2:B101)</f>
        <v>1.9899902055808272E-3</v>
      </c>
      <c r="N6">
        <f t="shared" ref="N6:O6" si="2">COVAR($D$2:$D$101,C2:C101)</f>
        <v>-8.6778579449800063E-4</v>
      </c>
      <c r="O6">
        <f t="shared" si="2"/>
        <v>2.1190705857564732E-2</v>
      </c>
      <c r="Q6">
        <f>COVAR(D2:D101,$E$2:$E$101)</f>
        <v>-1.3877048731799575E-2</v>
      </c>
      <c r="R6" t="s">
        <v>124</v>
      </c>
      <c r="S6">
        <v>-0.7122252080604391</v>
      </c>
    </row>
    <row r="7" spans="1:19" x14ac:dyDescent="0.35">
      <c r="A7">
        <v>6</v>
      </c>
      <c r="B7" s="2">
        <v>0.1364652492166738</v>
      </c>
      <c r="C7" s="2">
        <v>-0.12147710513257912</v>
      </c>
      <c r="D7" s="2">
        <v>-6.2187877304817465E-2</v>
      </c>
      <c r="E7">
        <v>9.9290326452041389E-2</v>
      </c>
      <c r="G7" s="39" t="s">
        <v>25</v>
      </c>
      <c r="H7" s="40">
        <v>1</v>
      </c>
      <c r="R7" t="s">
        <v>125</v>
      </c>
      <c r="S7">
        <f>AVERAGE(E2:E101)-AVERAGE(B2:B101)*S4-AVERAGE(C2:C101)*S5-AVERAGE(D2:D101)*S6</f>
        <v>1.9662475079632449E-2</v>
      </c>
    </row>
    <row r="8" spans="1:19" x14ac:dyDescent="0.35">
      <c r="A8">
        <v>7</v>
      </c>
      <c r="B8" s="2">
        <v>-8.8785252935784542E-2</v>
      </c>
      <c r="C8" s="2">
        <v>-0.10886881262927808</v>
      </c>
      <c r="D8" s="2">
        <v>9.612845539032705E-2</v>
      </c>
      <c r="E8">
        <v>-0.31535354318827674</v>
      </c>
      <c r="G8" s="39" t="s">
        <v>29</v>
      </c>
      <c r="H8" s="40">
        <f>-I4</f>
        <v>-0.90783206080488299</v>
      </c>
    </row>
    <row r="9" spans="1:19" x14ac:dyDescent="0.35">
      <c r="A9">
        <v>8</v>
      </c>
      <c r="B9" s="2">
        <v>-5.5586496020340811E-2</v>
      </c>
      <c r="C9" s="2">
        <v>0.18664468103757975</v>
      </c>
      <c r="D9" s="2">
        <v>-7.7506384625835006E-2</v>
      </c>
      <c r="E9">
        <v>0.4224491220093114</v>
      </c>
      <c r="G9" s="20" t="s">
        <v>35</v>
      </c>
      <c r="H9" s="20">
        <f>-1+I4</f>
        <v>-9.216793919511701E-2</v>
      </c>
    </row>
    <row r="10" spans="1:19" x14ac:dyDescent="0.35">
      <c r="A10">
        <v>9</v>
      </c>
      <c r="B10" s="2">
        <v>-3.7251489685413489E-2</v>
      </c>
      <c r="C10" s="2">
        <v>7.0580163350466074E-2</v>
      </c>
      <c r="D10" s="2">
        <v>-1.4643792735229505E-2</v>
      </c>
      <c r="E10">
        <v>7.6408286200899539E-2</v>
      </c>
      <c r="G10" s="39" t="s">
        <v>30</v>
      </c>
      <c r="H10" s="40">
        <f>-H4</f>
        <v>-0.68112517686910279</v>
      </c>
    </row>
    <row r="11" spans="1:19" x14ac:dyDescent="0.35">
      <c r="A11">
        <v>10</v>
      </c>
      <c r="B11" s="2">
        <v>4.4802275013315407E-2</v>
      </c>
      <c r="C11" s="2">
        <v>-0.15290486402676795</v>
      </c>
      <c r="D11" s="2">
        <v>7.3515183082669383E-2</v>
      </c>
      <c r="E11">
        <v>-0.13273010040403407</v>
      </c>
      <c r="G11" s="39" t="s">
        <v>31</v>
      </c>
      <c r="H11" s="40">
        <f>-G4</f>
        <v>0.7122252080604381</v>
      </c>
    </row>
    <row r="12" spans="1:19" x14ac:dyDescent="0.35">
      <c r="A12">
        <v>11</v>
      </c>
      <c r="B12" s="2">
        <v>0.23762277106539087</v>
      </c>
      <c r="C12" s="2">
        <v>5.3848630811915439E-2</v>
      </c>
      <c r="D12" s="2">
        <v>-4.9164176672775381E-2</v>
      </c>
      <c r="E12">
        <v>0.10624687740138131</v>
      </c>
    </row>
    <row r="13" spans="1:19" x14ac:dyDescent="0.35">
      <c r="A13">
        <v>12</v>
      </c>
      <c r="B13" s="2">
        <v>0.26467611171914568</v>
      </c>
      <c r="C13" s="2">
        <v>-0.11095489480356915</v>
      </c>
      <c r="D13" s="2">
        <v>5.7202806153860988E-2</v>
      </c>
      <c r="E13">
        <v>0.48714807978144437</v>
      </c>
    </row>
    <row r="14" spans="1:19" x14ac:dyDescent="0.35">
      <c r="A14">
        <v>13</v>
      </c>
      <c r="B14" s="2">
        <v>-2.998671498649301E-2</v>
      </c>
      <c r="C14" s="2">
        <v>0.24394608778061763</v>
      </c>
      <c r="D14" s="2">
        <v>0.13442951696216898</v>
      </c>
      <c r="E14">
        <v>0.10049603085164376</v>
      </c>
      <c r="G14">
        <f t="array" ref="G14">AVERAGE(E2:E101)-MMULT(H15:J15,TRANSPOSE(H14:J14))</f>
        <v>4.9911553059444405E-2</v>
      </c>
      <c r="H14">
        <f>COVAR(B2:B101,$E$2:$E$101)/VAR(B2:B101)</f>
        <v>0.6902034476402068</v>
      </c>
      <c r="I14">
        <f t="shared" ref="I14:J14" si="3">COVAR(C2:C101,$E$2:$E$101)/VAR(C2:C101)</f>
        <v>0.49424723527868863</v>
      </c>
      <c r="J14">
        <f t="shared" si="3"/>
        <v>-0.64831621640282566</v>
      </c>
    </row>
    <row r="15" spans="1:19" x14ac:dyDescent="0.35">
      <c r="A15">
        <v>14</v>
      </c>
      <c r="B15" s="2">
        <v>0.38575269471942386</v>
      </c>
      <c r="C15" s="2">
        <v>-5.9172648298910779E-4</v>
      </c>
      <c r="D15" s="2">
        <v>0.13198362995015361</v>
      </c>
      <c r="E15">
        <v>-0.1820112947978052</v>
      </c>
      <c r="H15" s="2">
        <f>AVERAGE(B2:B101)</f>
        <v>8.4530448105137504E-2</v>
      </c>
      <c r="I15" s="2">
        <f t="shared" ref="I15:J15" si="4">AVERAGE(C2:C101)</f>
        <v>7.6889318104053819E-2</v>
      </c>
      <c r="J15" s="2">
        <f t="shared" si="4"/>
        <v>3.9369792009136456E-2</v>
      </c>
    </row>
    <row r="16" spans="1:19" x14ac:dyDescent="0.35">
      <c r="A16">
        <v>15</v>
      </c>
      <c r="B16" s="2">
        <v>0.35405342154704611</v>
      </c>
      <c r="C16" s="2">
        <v>8.6341710720392581E-2</v>
      </c>
      <c r="D16" s="2">
        <v>0.19735044544156688</v>
      </c>
      <c r="E16">
        <v>0.38118328678372659</v>
      </c>
    </row>
    <row r="17" spans="1:24" x14ac:dyDescent="0.35">
      <c r="A17">
        <v>16</v>
      </c>
      <c r="B17" s="2">
        <v>3.9709124916231783E-2</v>
      </c>
      <c r="C17" s="2">
        <v>0.26935055906160643</v>
      </c>
      <c r="D17" s="2">
        <v>0.11982794052070764</v>
      </c>
      <c r="E17">
        <v>0.20489758004387484</v>
      </c>
    </row>
    <row r="18" spans="1:24" x14ac:dyDescent="0.35">
      <c r="A18">
        <v>17</v>
      </c>
      <c r="B18" s="2">
        <v>0.1425468209611003</v>
      </c>
      <c r="C18" s="2">
        <v>0.12924263353493554</v>
      </c>
      <c r="D18" s="2">
        <v>5.2339656850823688E-2</v>
      </c>
      <c r="E18">
        <v>0.34626194543631789</v>
      </c>
    </row>
    <row r="19" spans="1:24" ht="14.5" customHeight="1" x14ac:dyDescent="0.35">
      <c r="A19">
        <v>18</v>
      </c>
      <c r="B19" s="2">
        <v>2.6877272402748141E-2</v>
      </c>
      <c r="C19" s="2">
        <v>0.16509449851960029</v>
      </c>
      <c r="D19" s="2">
        <v>0.21863813863023765</v>
      </c>
      <c r="E19">
        <v>0.28223352095104287</v>
      </c>
      <c r="G19" s="38" t="s">
        <v>53</v>
      </c>
      <c r="H19" s="32" t="s">
        <v>104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ht="14.5" customHeight="1" x14ac:dyDescent="0.35">
      <c r="A20">
        <v>19</v>
      </c>
      <c r="B20" s="2">
        <v>0.15385996189376344</v>
      </c>
      <c r="C20" s="2">
        <v>3.4023723815669302E-2</v>
      </c>
      <c r="D20" s="2">
        <v>0.1423054684340348</v>
      </c>
      <c r="E20">
        <v>0.31558876620931464</v>
      </c>
      <c r="G20" s="26" t="s">
        <v>54</v>
      </c>
      <c r="H20" s="32" t="s">
        <v>105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4" ht="14.5" customHeight="1" x14ac:dyDescent="0.35">
      <c r="A21">
        <v>20</v>
      </c>
      <c r="B21" s="2">
        <v>5.0134408000727992E-2</v>
      </c>
      <c r="C21" s="2">
        <v>-7.0184564262224275E-2</v>
      </c>
      <c r="D21" s="2">
        <v>0.11679238447507991</v>
      </c>
      <c r="E21">
        <v>-0.21998360635212777</v>
      </c>
      <c r="G21" s="26" t="s">
        <v>96</v>
      </c>
      <c r="H21" s="32" t="s">
        <v>106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1:24" ht="14.5" customHeight="1" x14ac:dyDescent="0.35">
      <c r="A22">
        <v>21</v>
      </c>
      <c r="B22" s="2">
        <v>0.28995417728006129</v>
      </c>
      <c r="C22" s="2">
        <v>-3.2203205084850958E-2</v>
      </c>
      <c r="D22" s="2">
        <v>-0.17302576854264173</v>
      </c>
      <c r="E22">
        <v>0.37914317932125041</v>
      </c>
      <c r="G22" s="26" t="s">
        <v>97</v>
      </c>
      <c r="H22" s="32" t="s">
        <v>107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x14ac:dyDescent="0.35">
      <c r="A23">
        <v>22</v>
      </c>
      <c r="B23" s="2">
        <v>0.28794729632802873</v>
      </c>
      <c r="C23" s="2">
        <v>-9.5626308405483446E-2</v>
      </c>
      <c r="D23" s="2">
        <v>-3.55599936376714E-2</v>
      </c>
      <c r="E23">
        <v>0.49050530963981143</v>
      </c>
    </row>
    <row r="24" spans="1:24" x14ac:dyDescent="0.35">
      <c r="A24">
        <v>23</v>
      </c>
      <c r="B24" s="2">
        <v>0.20158628708862555</v>
      </c>
      <c r="C24" s="2">
        <v>0.10185591811506574</v>
      </c>
      <c r="D24" s="2">
        <v>0.41198650392767916</v>
      </c>
      <c r="E24">
        <v>-0.26480519745869391</v>
      </c>
    </row>
    <row r="25" spans="1:24" x14ac:dyDescent="0.35">
      <c r="A25">
        <v>24</v>
      </c>
      <c r="B25" s="2">
        <v>0.17916815736031405</v>
      </c>
      <c r="C25" s="2">
        <v>0.31154077068128211</v>
      </c>
      <c r="D25" s="2">
        <v>9.449847675059582E-3</v>
      </c>
      <c r="E25">
        <v>1.9597744180993637E-2</v>
      </c>
    </row>
    <row r="26" spans="1:24" x14ac:dyDescent="0.35">
      <c r="A26">
        <v>25</v>
      </c>
      <c r="B26" s="2">
        <v>-0.15860380809576755</v>
      </c>
      <c r="C26" s="2">
        <v>5.2742819497571126E-2</v>
      </c>
      <c r="D26" s="2">
        <v>7.1843285492510428E-2</v>
      </c>
      <c r="E26">
        <v>-5.7230417846170042E-2</v>
      </c>
    </row>
    <row r="27" spans="1:24" x14ac:dyDescent="0.35">
      <c r="A27">
        <v>26</v>
      </c>
      <c r="B27" s="2">
        <v>0.10293396506323982</v>
      </c>
      <c r="C27" s="2">
        <v>-0.19595490227816181</v>
      </c>
      <c r="D27" s="2">
        <v>-8.540467618487721E-2</v>
      </c>
      <c r="E27">
        <v>0.14493227334637446</v>
      </c>
    </row>
    <row r="28" spans="1:24" x14ac:dyDescent="0.35">
      <c r="A28">
        <v>27</v>
      </c>
      <c r="B28" s="2">
        <v>-0.25790219293152383</v>
      </c>
      <c r="C28" s="2">
        <v>0.26793950718840709</v>
      </c>
      <c r="D28" s="2">
        <v>0.21947229502772209</v>
      </c>
      <c r="E28">
        <v>-0.19476231059324309</v>
      </c>
    </row>
    <row r="29" spans="1:24" x14ac:dyDescent="0.35">
      <c r="A29">
        <v>28</v>
      </c>
      <c r="B29" s="2">
        <v>0.23327561623039769</v>
      </c>
      <c r="C29" s="2">
        <v>-2.705875569720502E-2</v>
      </c>
      <c r="D29" s="2">
        <v>-6.6545328405255094E-2</v>
      </c>
      <c r="E29">
        <v>0.24929592104807774</v>
      </c>
    </row>
    <row r="30" spans="1:24" x14ac:dyDescent="0.35">
      <c r="A30">
        <v>29</v>
      </c>
      <c r="B30" s="2">
        <v>0.39290684030471146</v>
      </c>
      <c r="C30" s="2">
        <v>7.2075156414108915E-2</v>
      </c>
      <c r="D30" s="2">
        <v>0.17474637162191131</v>
      </c>
      <c r="E30">
        <v>0.20859371009339991</v>
      </c>
    </row>
    <row r="31" spans="1:24" x14ac:dyDescent="0.35">
      <c r="A31">
        <v>30</v>
      </c>
      <c r="B31" s="2">
        <v>-9.8686482675425263E-2</v>
      </c>
      <c r="C31" s="2">
        <v>0.16020861038044931</v>
      </c>
      <c r="D31" s="2">
        <v>-3.0239607772896554E-3</v>
      </c>
      <c r="E31">
        <v>0.25547027470338368</v>
      </c>
    </row>
    <row r="32" spans="1:24" x14ac:dyDescent="0.35">
      <c r="A32">
        <v>31</v>
      </c>
      <c r="B32" s="2">
        <v>-0.16412224612766865</v>
      </c>
      <c r="C32" s="2">
        <v>0.20329527614835291</v>
      </c>
      <c r="D32" s="2">
        <v>-0.13469476249784054</v>
      </c>
      <c r="E32">
        <v>0.17700568143668088</v>
      </c>
    </row>
    <row r="33" spans="1:5" x14ac:dyDescent="0.35">
      <c r="A33">
        <v>32</v>
      </c>
      <c r="B33" s="2">
        <v>8.5255566027717528E-2</v>
      </c>
      <c r="C33" s="2">
        <v>0.33272722398308957</v>
      </c>
      <c r="D33" s="2">
        <v>-3.0858987096012133E-2</v>
      </c>
      <c r="E33">
        <v>0.10094755433808245</v>
      </c>
    </row>
    <row r="34" spans="1:5" x14ac:dyDescent="0.35">
      <c r="A34">
        <v>33</v>
      </c>
      <c r="B34" s="2">
        <v>-1.5896084459305876E-2</v>
      </c>
      <c r="C34" s="2">
        <v>0.10367079656136903</v>
      </c>
      <c r="D34" s="2">
        <v>-8.6079227411973019E-2</v>
      </c>
      <c r="E34">
        <v>0.21488583445068676</v>
      </c>
    </row>
    <row r="35" spans="1:5" x14ac:dyDescent="0.35">
      <c r="A35">
        <v>34</v>
      </c>
      <c r="B35" s="2">
        <v>2.4051372895626484E-2</v>
      </c>
      <c r="C35" s="2">
        <v>7.6547355709158063E-2</v>
      </c>
      <c r="D35" s="2">
        <v>-0.23766193471399605</v>
      </c>
      <c r="E35">
        <v>0.36207287283763517</v>
      </c>
    </row>
    <row r="36" spans="1:5" x14ac:dyDescent="0.35">
      <c r="A36">
        <v>35</v>
      </c>
      <c r="B36" s="2">
        <v>0.2271082983885428</v>
      </c>
      <c r="C36" s="2">
        <v>0.17870787815347366</v>
      </c>
      <c r="D36" s="2">
        <v>0.15311511631463293</v>
      </c>
      <c r="E36">
        <v>0.41358686369067277</v>
      </c>
    </row>
    <row r="37" spans="1:5" x14ac:dyDescent="0.35">
      <c r="A37">
        <v>36</v>
      </c>
      <c r="B37" s="2">
        <v>0.38498601815546851</v>
      </c>
      <c r="C37" s="2">
        <v>-4.0878737266741211E-2</v>
      </c>
      <c r="D37" s="2">
        <v>-0.19573620536421621</v>
      </c>
      <c r="E37">
        <v>-0.28551259691524533</v>
      </c>
    </row>
    <row r="38" spans="1:5" x14ac:dyDescent="0.35">
      <c r="A38">
        <v>37</v>
      </c>
      <c r="B38" s="2">
        <v>-6.9369455891899884E-2</v>
      </c>
      <c r="C38" s="2">
        <v>-0.13034520220548221</v>
      </c>
      <c r="D38" s="2">
        <v>6.2338759174471597E-2</v>
      </c>
      <c r="E38">
        <v>-0.13042820820482054</v>
      </c>
    </row>
    <row r="39" spans="1:5" x14ac:dyDescent="0.35">
      <c r="A39">
        <v>38</v>
      </c>
      <c r="B39" s="2">
        <v>0.24212913725938937</v>
      </c>
      <c r="C39" s="2">
        <v>8.962016985709953E-2</v>
      </c>
      <c r="D39" s="2">
        <v>0.177612377133677</v>
      </c>
      <c r="E39">
        <v>0.57717341451923876</v>
      </c>
    </row>
    <row r="40" spans="1:5" x14ac:dyDescent="0.35">
      <c r="A40">
        <v>39</v>
      </c>
      <c r="B40" s="2">
        <v>-2.3798708870248805E-2</v>
      </c>
      <c r="C40" s="2">
        <v>8.6570069622639342E-2</v>
      </c>
      <c r="D40" s="2">
        <v>9.4389307385573704E-2</v>
      </c>
      <c r="E40">
        <v>0.17544315924513287</v>
      </c>
    </row>
    <row r="41" spans="1:5" x14ac:dyDescent="0.35">
      <c r="A41">
        <v>40</v>
      </c>
      <c r="B41" s="2">
        <v>0.10818340613559413</v>
      </c>
      <c r="C41" s="2">
        <v>-5.5050315088372631E-2</v>
      </c>
      <c r="D41" s="2">
        <v>-9.2830076378292242E-2</v>
      </c>
      <c r="E41">
        <v>0.33626138175500242</v>
      </c>
    </row>
    <row r="42" spans="1:5" x14ac:dyDescent="0.35">
      <c r="A42">
        <v>41</v>
      </c>
      <c r="B42" s="2">
        <v>-3.1720523089050545E-2</v>
      </c>
      <c r="C42" s="2">
        <v>0.15889100282766044</v>
      </c>
      <c r="D42" s="2">
        <v>-0.34776738457533474</v>
      </c>
      <c r="E42">
        <v>0.64836598087910735</v>
      </c>
    </row>
    <row r="43" spans="1:5" x14ac:dyDescent="0.35">
      <c r="A43">
        <v>42</v>
      </c>
      <c r="B43" s="2">
        <v>0.23715144019858028</v>
      </c>
      <c r="C43" s="2">
        <v>-0.10225682927768606</v>
      </c>
      <c r="D43" s="2">
        <v>6.9376728408569288E-2</v>
      </c>
      <c r="E43">
        <v>-3.6078696060093285E-2</v>
      </c>
    </row>
    <row r="44" spans="1:5" x14ac:dyDescent="0.35">
      <c r="A44">
        <v>43</v>
      </c>
      <c r="B44" s="2">
        <v>1.3379081217499054E-2</v>
      </c>
      <c r="C44" s="2">
        <v>9.061035160463754E-2</v>
      </c>
      <c r="D44" s="2">
        <v>-7.3781548040275313E-2</v>
      </c>
      <c r="E44">
        <v>-5.0349666422734363E-2</v>
      </c>
    </row>
    <row r="45" spans="1:5" x14ac:dyDescent="0.35">
      <c r="A45">
        <v>44</v>
      </c>
      <c r="B45" s="2">
        <v>0.26200402792208266</v>
      </c>
      <c r="C45" s="2">
        <v>-0.12747751647155431</v>
      </c>
      <c r="D45" s="2">
        <v>0.19807863476006862</v>
      </c>
      <c r="E45">
        <v>-0.12552734642401023</v>
      </c>
    </row>
    <row r="46" spans="1:5" x14ac:dyDescent="0.35">
      <c r="A46">
        <v>45</v>
      </c>
      <c r="B46" s="2">
        <v>-4.1613693514164538E-2</v>
      </c>
      <c r="C46" s="2">
        <v>3.2887844106731789E-2</v>
      </c>
      <c r="D46" s="2">
        <v>-6.1472698314788826E-2</v>
      </c>
      <c r="E46">
        <v>0.33050671269818538</v>
      </c>
    </row>
    <row r="47" spans="1:5" x14ac:dyDescent="0.35">
      <c r="A47">
        <v>46</v>
      </c>
      <c r="B47" s="2">
        <v>-0.11272565285783609</v>
      </c>
      <c r="C47" s="2">
        <v>4.1994178095729216E-2</v>
      </c>
      <c r="D47" s="2">
        <v>0.25292627261122225</v>
      </c>
      <c r="E47">
        <v>-9.9462685286690111E-2</v>
      </c>
    </row>
    <row r="48" spans="1:5" x14ac:dyDescent="0.35">
      <c r="A48">
        <v>47</v>
      </c>
      <c r="B48" s="2">
        <v>-1.2746416940777119E-2</v>
      </c>
      <c r="C48" s="2">
        <v>0.14412516489206423</v>
      </c>
      <c r="D48" s="2">
        <v>-0.10873276350718705</v>
      </c>
      <c r="E48">
        <v>0.41638383686386943</v>
      </c>
    </row>
    <row r="49" spans="1:5" x14ac:dyDescent="0.35">
      <c r="A49">
        <v>48</v>
      </c>
      <c r="B49" s="2">
        <v>8.4227290795213766E-2</v>
      </c>
      <c r="C49" s="2">
        <v>0.34019715646755588</v>
      </c>
      <c r="D49" s="2">
        <v>-2.9993902440336798E-2</v>
      </c>
      <c r="E49">
        <v>-0.27891284373351466</v>
      </c>
    </row>
    <row r="50" spans="1:5" x14ac:dyDescent="0.35">
      <c r="A50">
        <v>49</v>
      </c>
      <c r="B50" s="2">
        <v>0.13507352079404522</v>
      </c>
      <c r="C50" s="2">
        <v>0.12394666156176988</v>
      </c>
      <c r="D50" s="2">
        <v>-0.1248157873985806</v>
      </c>
      <c r="E50">
        <v>7.6319470462648809E-2</v>
      </c>
    </row>
    <row r="51" spans="1:5" x14ac:dyDescent="0.35">
      <c r="A51">
        <v>50</v>
      </c>
      <c r="B51" s="2">
        <v>5.5899759288415021E-2</v>
      </c>
      <c r="C51" s="2">
        <v>-0.10665788046046396</v>
      </c>
      <c r="D51" s="2">
        <v>7.8873528290351713E-2</v>
      </c>
      <c r="E51">
        <v>0.18713374806374197</v>
      </c>
    </row>
    <row r="52" spans="1:5" x14ac:dyDescent="0.35">
      <c r="A52">
        <v>51</v>
      </c>
      <c r="B52" s="2">
        <v>9.5699875342660223E-2</v>
      </c>
      <c r="C52" s="2">
        <v>4.6614100212868367E-2</v>
      </c>
      <c r="D52" s="2">
        <v>-5.8032075336253472E-2</v>
      </c>
      <c r="E52">
        <v>0.20611114407902331</v>
      </c>
    </row>
    <row r="53" spans="1:5" x14ac:dyDescent="0.35">
      <c r="A53">
        <v>52</v>
      </c>
      <c r="B53" s="2">
        <v>0.1931243273148516</v>
      </c>
      <c r="C53" s="2">
        <v>0.27605035623489782</v>
      </c>
      <c r="D53" s="2">
        <v>-3.6997554324381232E-2</v>
      </c>
      <c r="E53">
        <v>0.35085393483968574</v>
      </c>
    </row>
    <row r="54" spans="1:5" x14ac:dyDescent="0.35">
      <c r="A54">
        <v>53</v>
      </c>
      <c r="B54" s="2">
        <v>-6.4330719921797341E-2</v>
      </c>
      <c r="C54" s="2">
        <v>-6.2393512458587125E-3</v>
      </c>
      <c r="D54" s="2">
        <v>6.9846633561192251E-2</v>
      </c>
      <c r="E54">
        <v>-0.64425360933572662</v>
      </c>
    </row>
    <row r="55" spans="1:5" x14ac:dyDescent="0.35">
      <c r="A55">
        <v>54</v>
      </c>
      <c r="B55" s="2">
        <v>-3.7315818057024233E-2</v>
      </c>
      <c r="C55" s="2">
        <v>0.14733664632090079</v>
      </c>
      <c r="D55" s="2">
        <v>0.38855452418066905</v>
      </c>
      <c r="E55">
        <v>-0.28616600212944548</v>
      </c>
    </row>
    <row r="56" spans="1:5" x14ac:dyDescent="0.35">
      <c r="A56">
        <v>55</v>
      </c>
      <c r="B56" s="2">
        <v>-3.9584515370806775E-2</v>
      </c>
      <c r="C56" s="2">
        <v>0.26356743894111995</v>
      </c>
      <c r="D56" s="2">
        <v>0.16379357931800942</v>
      </c>
      <c r="E56">
        <v>0.24221062876530006</v>
      </c>
    </row>
    <row r="57" spans="1:5" x14ac:dyDescent="0.35">
      <c r="A57">
        <v>56</v>
      </c>
      <c r="B57" s="2">
        <v>5.2105607449621519E-2</v>
      </c>
      <c r="C57" s="2">
        <v>0.31662244487647423</v>
      </c>
      <c r="D57" s="2">
        <v>-3.5304562662988356E-2</v>
      </c>
      <c r="E57">
        <v>0.58095116763347043</v>
      </c>
    </row>
    <row r="58" spans="1:5" x14ac:dyDescent="0.35">
      <c r="A58">
        <v>57</v>
      </c>
      <c r="B58" s="2">
        <v>0.15087335586804745</v>
      </c>
      <c r="C58" s="2">
        <v>0.27489502833950485</v>
      </c>
      <c r="D58" s="2">
        <v>0.1502895078664469</v>
      </c>
      <c r="E58">
        <v>0.12765382442978232</v>
      </c>
    </row>
    <row r="59" spans="1:5" x14ac:dyDescent="0.35">
      <c r="A59">
        <v>58</v>
      </c>
      <c r="B59" s="2">
        <v>-3.0822908444221864E-3</v>
      </c>
      <c r="C59" s="2">
        <v>-8.1185421217975701E-2</v>
      </c>
      <c r="D59" s="2">
        <v>-3.7028345949984845E-2</v>
      </c>
      <c r="E59">
        <v>-1.5233144897571261E-2</v>
      </c>
    </row>
    <row r="60" spans="1:5" x14ac:dyDescent="0.35">
      <c r="A60">
        <v>59</v>
      </c>
      <c r="B60" s="2">
        <v>7.9444827988085956E-2</v>
      </c>
      <c r="C60" s="2">
        <v>-0.13625132353301858</v>
      </c>
      <c r="D60" s="2">
        <v>0.24199825026945332</v>
      </c>
      <c r="E60">
        <v>0.43793063853097158</v>
      </c>
    </row>
    <row r="61" spans="1:5" x14ac:dyDescent="0.35">
      <c r="A61">
        <v>60</v>
      </c>
      <c r="B61" s="2">
        <v>0.14287044871661092</v>
      </c>
      <c r="C61" s="2">
        <v>0.15444815760476421</v>
      </c>
      <c r="D61" s="2">
        <v>-0.18265861346508896</v>
      </c>
      <c r="E61">
        <v>-0.19795708378917776</v>
      </c>
    </row>
    <row r="62" spans="1:5" x14ac:dyDescent="0.35">
      <c r="A62">
        <v>61</v>
      </c>
      <c r="B62" s="2">
        <v>-1.8747627650700247E-2</v>
      </c>
      <c r="C62" s="2">
        <v>-3.1888053601081337E-2</v>
      </c>
      <c r="D62" s="2">
        <v>0.21899987898590026</v>
      </c>
      <c r="E62">
        <v>-0.52652609201853329</v>
      </c>
    </row>
    <row r="63" spans="1:5" x14ac:dyDescent="0.35">
      <c r="A63">
        <v>62</v>
      </c>
      <c r="B63" s="2">
        <v>9.382521144782735E-2</v>
      </c>
      <c r="C63" s="2">
        <v>0.25532920236495499</v>
      </c>
      <c r="D63" s="2">
        <v>-0.15901195374384464</v>
      </c>
      <c r="E63">
        <v>0.37789368598176276</v>
      </c>
    </row>
    <row r="64" spans="1:5" x14ac:dyDescent="0.35">
      <c r="A64">
        <v>63</v>
      </c>
      <c r="B64" s="2">
        <v>-0.13497157123178996</v>
      </c>
      <c r="C64" s="2">
        <v>0.14780528413640961</v>
      </c>
      <c r="D64" s="2">
        <v>2.3369434050334731E-2</v>
      </c>
      <c r="E64">
        <v>-0.1980656543060858</v>
      </c>
    </row>
    <row r="65" spans="1:5" x14ac:dyDescent="0.35">
      <c r="A65">
        <v>64</v>
      </c>
      <c r="B65" s="2">
        <v>0.14210324212880082</v>
      </c>
      <c r="C65" s="2">
        <v>0.2482996641273747</v>
      </c>
      <c r="D65" s="2">
        <v>0.104154239980005</v>
      </c>
      <c r="E65">
        <v>0.35134497814882415</v>
      </c>
    </row>
    <row r="66" spans="1:5" x14ac:dyDescent="0.35">
      <c r="A66">
        <v>65</v>
      </c>
      <c r="B66" s="2">
        <v>-4.4182045526875727E-2</v>
      </c>
      <c r="C66" s="2">
        <v>0.26652568424906786</v>
      </c>
      <c r="D66" s="2">
        <v>-1.3322226932751882E-3</v>
      </c>
      <c r="E66">
        <v>0.21612439842664302</v>
      </c>
    </row>
    <row r="67" spans="1:5" x14ac:dyDescent="0.35">
      <c r="A67">
        <v>66</v>
      </c>
      <c r="B67" s="2">
        <v>0.28124131937410318</v>
      </c>
      <c r="C67" s="2">
        <v>0.30642090878894784</v>
      </c>
      <c r="D67" s="2">
        <v>-7.0883948257638468E-2</v>
      </c>
      <c r="E67">
        <v>0.69487712552248548</v>
      </c>
    </row>
    <row r="68" spans="1:5" x14ac:dyDescent="0.35">
      <c r="A68">
        <v>67</v>
      </c>
      <c r="B68" s="2">
        <v>2.7291508004843673E-2</v>
      </c>
      <c r="C68" s="2">
        <v>-5.8358840944994356E-3</v>
      </c>
      <c r="D68" s="2">
        <v>0.14451286893942827</v>
      </c>
      <c r="E68">
        <v>-0.33651801013894722</v>
      </c>
    </row>
    <row r="69" spans="1:5" x14ac:dyDescent="0.35">
      <c r="A69">
        <v>68</v>
      </c>
      <c r="B69" s="2">
        <v>7.8625897863275188E-2</v>
      </c>
      <c r="C69" s="2">
        <v>6.8914482924916448E-2</v>
      </c>
      <c r="D69" s="2">
        <v>8.9572633306436195E-2</v>
      </c>
      <c r="E69">
        <v>-0.23780145371009764</v>
      </c>
    </row>
    <row r="70" spans="1:5" x14ac:dyDescent="0.35">
      <c r="A70">
        <v>69</v>
      </c>
      <c r="B70" s="2">
        <v>0.21294248789550652</v>
      </c>
      <c r="C70" s="2">
        <v>0.28208569821084872</v>
      </c>
      <c r="D70" s="2">
        <v>0.11346587276609918</v>
      </c>
      <c r="E70">
        <v>0.97961299685460135</v>
      </c>
    </row>
    <row r="71" spans="1:5" x14ac:dyDescent="0.35">
      <c r="A71">
        <v>70</v>
      </c>
      <c r="B71" s="2">
        <v>5.4436571053762914E-2</v>
      </c>
      <c r="C71" s="2">
        <v>3.3574484399443022E-3</v>
      </c>
      <c r="D71" s="2">
        <v>-0.19537828620855097</v>
      </c>
      <c r="E71">
        <v>0.23578054074354107</v>
      </c>
    </row>
    <row r="72" spans="1:5" x14ac:dyDescent="0.35">
      <c r="A72">
        <v>71</v>
      </c>
      <c r="B72" s="2">
        <v>0.13630861943044187</v>
      </c>
      <c r="C72" s="2">
        <v>8.471584836755891E-2</v>
      </c>
      <c r="D72" s="2">
        <v>-9.3711553718966029E-3</v>
      </c>
      <c r="E72">
        <v>0.29133173623561431</v>
      </c>
    </row>
    <row r="73" spans="1:5" x14ac:dyDescent="0.35">
      <c r="A73">
        <v>72</v>
      </c>
      <c r="B73" s="2">
        <v>5.1711627877061656E-2</v>
      </c>
      <c r="C73" s="2">
        <v>-4.4478529274970424E-2</v>
      </c>
      <c r="D73" s="2">
        <v>0.21359903748304035</v>
      </c>
      <c r="E73">
        <v>-0.28272285763176397</v>
      </c>
    </row>
    <row r="74" spans="1:5" x14ac:dyDescent="0.35">
      <c r="A74">
        <v>73</v>
      </c>
      <c r="B74" s="2">
        <v>9.1447684285384911E-2</v>
      </c>
      <c r="C74" s="2">
        <v>0.1290238597558126</v>
      </c>
      <c r="D74" s="2">
        <v>-7.9293535727389342E-2</v>
      </c>
      <c r="E74">
        <v>0.25196475489070269</v>
      </c>
    </row>
    <row r="75" spans="1:5" x14ac:dyDescent="0.35">
      <c r="A75">
        <v>74</v>
      </c>
      <c r="B75" s="2">
        <v>-0.29925462721829077</v>
      </c>
      <c r="C75" s="2">
        <v>0.4235413681094784</v>
      </c>
      <c r="D75" s="2">
        <v>-0.20944691957121392</v>
      </c>
      <c r="E75">
        <v>-0.32918732292012731</v>
      </c>
    </row>
    <row r="76" spans="1:5" x14ac:dyDescent="0.35">
      <c r="A76">
        <v>75</v>
      </c>
      <c r="B76" s="2">
        <v>0.21829031596370288</v>
      </c>
      <c r="C76" s="2">
        <v>-4.0746726262137309E-2</v>
      </c>
      <c r="D76" s="2">
        <v>-0.24996464320562561</v>
      </c>
      <c r="E76">
        <v>0.7322559791340717</v>
      </c>
    </row>
    <row r="77" spans="1:5" x14ac:dyDescent="0.35">
      <c r="A77">
        <v>76</v>
      </c>
      <c r="B77" s="2">
        <v>1.7463479376501653E-2</v>
      </c>
      <c r="C77" s="2">
        <v>-0.32568531238477649</v>
      </c>
      <c r="D77" s="2">
        <v>-3.9123061541663048E-2</v>
      </c>
      <c r="E77">
        <v>-3.2347813429667582E-3</v>
      </c>
    </row>
    <row r="78" spans="1:5" x14ac:dyDescent="0.35">
      <c r="A78">
        <v>77</v>
      </c>
      <c r="B78" s="2">
        <v>5.364586618572998E-2</v>
      </c>
      <c r="C78" s="2">
        <v>4.2443348548477908E-2</v>
      </c>
      <c r="D78" s="2">
        <v>-0.12094836431152831</v>
      </c>
      <c r="E78">
        <v>-0.28731456289217872</v>
      </c>
    </row>
    <row r="79" spans="1:5" x14ac:dyDescent="0.35">
      <c r="A79">
        <v>78</v>
      </c>
      <c r="B79" s="2">
        <v>0.43670113283938317</v>
      </c>
      <c r="C79" s="2">
        <v>8.9790719630649524E-2</v>
      </c>
      <c r="D79" s="2">
        <v>9.541323472436572E-2</v>
      </c>
      <c r="E79">
        <v>0.26867330218945024</v>
      </c>
    </row>
    <row r="80" spans="1:5" x14ac:dyDescent="0.35">
      <c r="A80">
        <v>79</v>
      </c>
      <c r="B80" s="2">
        <v>0.26499774276215909</v>
      </c>
      <c r="C80" s="2">
        <v>-0.19760923868099928</v>
      </c>
      <c r="D80" s="2">
        <v>-6.041142983096269E-2</v>
      </c>
      <c r="E80">
        <v>0.46383985970387098</v>
      </c>
    </row>
    <row r="81" spans="1:5" x14ac:dyDescent="0.35">
      <c r="A81">
        <v>80</v>
      </c>
      <c r="B81" s="2">
        <v>-1.6099068158386021E-2</v>
      </c>
      <c r="C81" s="2">
        <v>-9.8476627556046775E-2</v>
      </c>
      <c r="D81" s="2">
        <v>9.3846675806160212E-2</v>
      </c>
      <c r="E81">
        <v>-0.59643696499394905</v>
      </c>
    </row>
    <row r="82" spans="1:5" x14ac:dyDescent="0.35">
      <c r="A82">
        <v>81</v>
      </c>
      <c r="B82" s="2">
        <v>-0.10867796849989486</v>
      </c>
      <c r="C82" s="2">
        <v>0.10469269325023735</v>
      </c>
      <c r="D82" s="2">
        <v>0.13650872704347922</v>
      </c>
      <c r="E82">
        <v>-0.67199218935640925</v>
      </c>
    </row>
    <row r="83" spans="1:5" x14ac:dyDescent="0.35">
      <c r="A83">
        <v>82</v>
      </c>
      <c r="B83" s="2">
        <v>-9.073037374687784E-2</v>
      </c>
      <c r="C83" s="2">
        <v>0.15299813091031589</v>
      </c>
      <c r="D83" s="2">
        <v>0.2202126453169688</v>
      </c>
      <c r="E83">
        <v>-0.34404009282316006</v>
      </c>
    </row>
    <row r="84" spans="1:5" x14ac:dyDescent="0.35">
      <c r="A84">
        <v>83</v>
      </c>
      <c r="B84" s="2">
        <v>0.2386549090790458</v>
      </c>
      <c r="C84" s="2">
        <v>-5.5033140299934058E-3</v>
      </c>
      <c r="D84" s="2">
        <v>1.6878027461896435E-2</v>
      </c>
      <c r="E84">
        <v>0.24860346122435928</v>
      </c>
    </row>
    <row r="85" spans="1:5" x14ac:dyDescent="0.35">
      <c r="A85">
        <v>84</v>
      </c>
      <c r="B85" s="2">
        <v>1.1435060209928162E-2</v>
      </c>
      <c r="C85" s="2">
        <v>5.5881677986712543E-2</v>
      </c>
      <c r="D85" s="2">
        <v>0.32386042339131743</v>
      </c>
      <c r="E85">
        <v>-0.18408703830855749</v>
      </c>
    </row>
    <row r="86" spans="1:5" x14ac:dyDescent="0.35">
      <c r="A86">
        <v>85</v>
      </c>
      <c r="B86" s="2">
        <v>2.4299284491469723E-2</v>
      </c>
      <c r="C86" s="2">
        <v>-2.9460922387652966E-3</v>
      </c>
      <c r="D86" s="2">
        <v>0.12176669304488846</v>
      </c>
      <c r="E86">
        <v>7.0760706532814646E-2</v>
      </c>
    </row>
    <row r="87" spans="1:5" x14ac:dyDescent="0.35">
      <c r="A87">
        <v>86</v>
      </c>
      <c r="B87" s="2">
        <v>0.12319615188284878</v>
      </c>
      <c r="C87" s="2">
        <v>1.8189720540921488E-2</v>
      </c>
      <c r="D87" s="2">
        <v>0.21855019800817746</v>
      </c>
      <c r="E87">
        <v>0.24235407393562414</v>
      </c>
    </row>
    <row r="88" spans="1:5" x14ac:dyDescent="0.35">
      <c r="A88">
        <v>87</v>
      </c>
      <c r="B88" s="2">
        <v>6.0125693332589096E-2</v>
      </c>
      <c r="C88" s="2">
        <v>-8.2162151447855103E-2</v>
      </c>
      <c r="D88" s="2">
        <v>-1.5984766512014081E-2</v>
      </c>
      <c r="E88">
        <v>-9.9173811318548521E-2</v>
      </c>
    </row>
    <row r="89" spans="1:5" x14ac:dyDescent="0.35">
      <c r="A89">
        <v>88</v>
      </c>
      <c r="B89" s="2">
        <v>0.21144385216492445</v>
      </c>
      <c r="C89" s="2">
        <v>5.986869933798343E-3</v>
      </c>
      <c r="D89" s="2">
        <v>0.11850219957210187</v>
      </c>
      <c r="E89">
        <v>9.9479150914602021E-3</v>
      </c>
    </row>
    <row r="90" spans="1:5" x14ac:dyDescent="0.35">
      <c r="A90">
        <v>89</v>
      </c>
      <c r="B90" s="2">
        <v>0.18733440725812758</v>
      </c>
      <c r="C90" s="2">
        <v>3.3460781800094104E-2</v>
      </c>
      <c r="D90" s="2">
        <v>7.4637956294514002E-2</v>
      </c>
      <c r="E90">
        <v>6.8593036349945125E-3</v>
      </c>
    </row>
    <row r="91" spans="1:5" x14ac:dyDescent="0.35">
      <c r="A91">
        <v>90</v>
      </c>
      <c r="B91" s="2">
        <v>0.26689920723253013</v>
      </c>
      <c r="C91" s="2">
        <v>8.1060980547127182E-2</v>
      </c>
      <c r="D91" s="2">
        <v>0.21722908290157442</v>
      </c>
      <c r="E91">
        <v>0.27720588680728242</v>
      </c>
    </row>
    <row r="92" spans="1:5" x14ac:dyDescent="0.35">
      <c r="A92">
        <v>91</v>
      </c>
      <c r="B92" s="2">
        <v>-0.10584723390013062</v>
      </c>
      <c r="C92" s="2">
        <v>-3.456030780768235E-2</v>
      </c>
      <c r="D92" s="2">
        <v>3.9723700343827606E-2</v>
      </c>
      <c r="E92">
        <v>-0.31969691122072608</v>
      </c>
    </row>
    <row r="93" spans="1:5" x14ac:dyDescent="0.35">
      <c r="A93">
        <v>92</v>
      </c>
      <c r="B93" s="2">
        <v>0.11427850323911337</v>
      </c>
      <c r="C93" s="2">
        <v>0.17293774878169049</v>
      </c>
      <c r="D93" s="2">
        <v>0.12483697896361047</v>
      </c>
      <c r="E93">
        <v>0.78476079359812301</v>
      </c>
    </row>
    <row r="94" spans="1:5" x14ac:dyDescent="0.35">
      <c r="A94">
        <v>93</v>
      </c>
      <c r="B94" s="2">
        <v>0.17383818814650581</v>
      </c>
      <c r="C94" s="2">
        <v>0.20808391034966794</v>
      </c>
      <c r="D94" s="2">
        <v>0.19736879873722624</v>
      </c>
      <c r="E94">
        <v>-3.8974618898054814E-2</v>
      </c>
    </row>
    <row r="95" spans="1:5" x14ac:dyDescent="0.35">
      <c r="A95">
        <v>94</v>
      </c>
      <c r="B95" s="2">
        <v>-0.23636966538838222</v>
      </c>
      <c r="C95" s="2">
        <v>0.45801028696660673</v>
      </c>
      <c r="D95" s="2">
        <v>-0.16322805600290383</v>
      </c>
      <c r="E95">
        <v>0.39073173056113081</v>
      </c>
    </row>
    <row r="96" spans="1:5" x14ac:dyDescent="0.35">
      <c r="A96">
        <v>95</v>
      </c>
      <c r="B96" s="2">
        <v>-1.9183300354325833E-4</v>
      </c>
      <c r="C96" s="2">
        <v>0.1518491772884738</v>
      </c>
      <c r="D96" s="2">
        <v>2.5856397745310303E-2</v>
      </c>
      <c r="E96">
        <v>0.66696052771667391</v>
      </c>
    </row>
    <row r="97" spans="1:5" x14ac:dyDescent="0.35">
      <c r="A97">
        <v>96</v>
      </c>
      <c r="B97" s="2">
        <v>0.23812204003214893</v>
      </c>
      <c r="C97" s="2">
        <v>0.12181158756938744</v>
      </c>
      <c r="D97" s="2">
        <v>-0.20637974341062548</v>
      </c>
      <c r="E97">
        <v>0.61522161036836587</v>
      </c>
    </row>
    <row r="98" spans="1:5" x14ac:dyDescent="0.35">
      <c r="A98">
        <v>97</v>
      </c>
      <c r="B98" s="2">
        <v>-0.23139698634798544</v>
      </c>
      <c r="C98" s="2">
        <v>-1.9008247107068402E-2</v>
      </c>
      <c r="D98" s="2">
        <v>-0.14326246227949488</v>
      </c>
      <c r="E98">
        <v>0.13153140142456041</v>
      </c>
    </row>
    <row r="99" spans="1:5" x14ac:dyDescent="0.35">
      <c r="A99">
        <v>98</v>
      </c>
      <c r="B99" s="2">
        <v>0.40156969008300614</v>
      </c>
      <c r="C99" s="2">
        <v>-0.13000706971374906</v>
      </c>
      <c r="D99" s="2">
        <v>0.19234726547737305</v>
      </c>
      <c r="E99">
        <v>-1.8483659855161316E-2</v>
      </c>
    </row>
    <row r="100" spans="1:5" x14ac:dyDescent="0.35">
      <c r="A100">
        <v>99</v>
      </c>
      <c r="B100" s="2">
        <v>0.15457059046111432</v>
      </c>
      <c r="C100" s="2">
        <v>0.39467889624323299</v>
      </c>
      <c r="D100" s="2">
        <v>0.16674240735662149</v>
      </c>
      <c r="E100">
        <v>4.2573672733430823E-3</v>
      </c>
    </row>
    <row r="101" spans="1:5" x14ac:dyDescent="0.35">
      <c r="A101">
        <v>100</v>
      </c>
      <c r="B101" s="2">
        <v>0.20639444861182113</v>
      </c>
      <c r="C101" s="2">
        <v>-9.5255896704938059E-2</v>
      </c>
      <c r="D101" s="2">
        <v>0.12489650898227272</v>
      </c>
      <c r="E101">
        <v>-0.39044026933383724</v>
      </c>
    </row>
    <row r="103" spans="1:5" x14ac:dyDescent="0.35">
      <c r="B103" s="2">
        <f>AVERAGE(B2:B101)</f>
        <v>8.4530448105137504E-2</v>
      </c>
      <c r="C103" s="2">
        <f t="shared" ref="C103:D103" si="5">AVERAGE(C2:C101)</f>
        <v>7.6889318104053819E-2</v>
      </c>
      <c r="D103" s="2">
        <f t="shared" si="5"/>
        <v>3.9369792009136456E-2</v>
      </c>
    </row>
    <row r="104" spans="1:5" x14ac:dyDescent="0.35">
      <c r="B104">
        <f>STDEV(B2:B101)</f>
        <v>0.1551184693956027</v>
      </c>
      <c r="C104">
        <f t="shared" ref="C104:D104" si="6">STDEV(C2:C101)</f>
        <v>0.15238179216033662</v>
      </c>
      <c r="D104">
        <f t="shared" si="6"/>
        <v>0.14630363423879653</v>
      </c>
    </row>
  </sheetData>
  <mergeCells count="4">
    <mergeCell ref="H19:X19"/>
    <mergeCell ref="H20:X20"/>
    <mergeCell ref="H21:X21"/>
    <mergeCell ref="H22:X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36F2-A801-4C2B-8AAF-5FF46BEC2730}">
  <dimension ref="A2:I23"/>
  <sheetViews>
    <sheetView workbookViewId="0">
      <selection activeCell="F54" sqref="F54"/>
    </sheetView>
  </sheetViews>
  <sheetFormatPr defaultRowHeight="14.5" x14ac:dyDescent="0.35"/>
  <cols>
    <col min="1" max="1" width="13.453125" bestFit="1" customWidth="1"/>
  </cols>
  <sheetData>
    <row r="2" spans="1:9" x14ac:dyDescent="0.35">
      <c r="B2" t="s">
        <v>44</v>
      </c>
    </row>
    <row r="4" spans="1:9" x14ac:dyDescent="0.35">
      <c r="B4" t="s">
        <v>39</v>
      </c>
      <c r="E4" t="s">
        <v>38</v>
      </c>
    </row>
    <row r="5" spans="1:9" x14ac:dyDescent="0.35">
      <c r="B5" t="s">
        <v>0</v>
      </c>
      <c r="C5" t="s">
        <v>1</v>
      </c>
      <c r="E5" t="s">
        <v>29</v>
      </c>
      <c r="F5" t="s">
        <v>30</v>
      </c>
      <c r="G5" t="s">
        <v>31</v>
      </c>
      <c r="H5" t="s">
        <v>36</v>
      </c>
      <c r="I5" t="s">
        <v>37</v>
      </c>
    </row>
    <row r="6" spans="1:9" x14ac:dyDescent="0.35">
      <c r="A6" t="s">
        <v>29</v>
      </c>
      <c r="B6">
        <v>0.5</v>
      </c>
      <c r="C6">
        <v>1.2</v>
      </c>
      <c r="E6" s="6">
        <v>2.5598777831700899E-2</v>
      </c>
      <c r="F6" s="6">
        <v>4.6247550420747702E-3</v>
      </c>
      <c r="G6" s="6">
        <v>-3.6324120488343201E-3</v>
      </c>
      <c r="H6" s="6">
        <v>-2.6007942025106901E-3</v>
      </c>
      <c r="I6" s="6">
        <v>-4.1734702530004204E-3</v>
      </c>
    </row>
    <row r="7" spans="1:9" x14ac:dyDescent="0.35">
      <c r="A7" t="s">
        <v>30</v>
      </c>
      <c r="B7">
        <v>0.5</v>
      </c>
      <c r="C7">
        <v>-0.5</v>
      </c>
      <c r="E7" s="6">
        <v>4.6247550420747702E-3</v>
      </c>
      <c r="F7" s="6">
        <v>1.1079521671954799E-2</v>
      </c>
      <c r="G7" s="6">
        <v>-1.39390660780798E-4</v>
      </c>
      <c r="H7" s="6">
        <v>-3.1547928128017699E-3</v>
      </c>
      <c r="I7" s="6">
        <v>-5.0314109532349305E-4</v>
      </c>
    </row>
    <row r="8" spans="1:9" x14ac:dyDescent="0.35">
      <c r="A8" t="s">
        <v>31</v>
      </c>
      <c r="B8">
        <v>0.3</v>
      </c>
      <c r="C8">
        <v>-0.1</v>
      </c>
      <c r="E8" s="6">
        <v>-3.6324120488343201E-3</v>
      </c>
      <c r="F8" s="6">
        <v>-1.39390660780798E-4</v>
      </c>
      <c r="G8" s="6">
        <v>1.14397633359084E-2</v>
      </c>
      <c r="H8" s="6">
        <v>9.6533081169816401E-4</v>
      </c>
      <c r="I8" s="6">
        <v>5.3237520629052298E-3</v>
      </c>
    </row>
    <row r="9" spans="1:9" x14ac:dyDescent="0.35">
      <c r="A9" t="s">
        <v>36</v>
      </c>
      <c r="B9">
        <v>0.7</v>
      </c>
      <c r="C9">
        <v>0</v>
      </c>
      <c r="E9" s="6">
        <v>-2.6007942025106901E-3</v>
      </c>
      <c r="F9" s="6">
        <v>-3.1547928128017699E-3</v>
      </c>
      <c r="G9" s="6">
        <v>9.6533081169816401E-4</v>
      </c>
      <c r="H9" s="6">
        <v>6.2593933008690799E-3</v>
      </c>
      <c r="I9" s="6">
        <v>1.90796861360188E-4</v>
      </c>
    </row>
    <row r="10" spans="1:9" x14ac:dyDescent="0.35">
      <c r="A10" t="s">
        <v>37</v>
      </c>
      <c r="B10">
        <v>-0.5</v>
      </c>
      <c r="C10">
        <v>0.2</v>
      </c>
      <c r="E10" s="6">
        <v>-4.1734702530004204E-3</v>
      </c>
      <c r="F10" s="6">
        <v>-5.0314109532349305E-4</v>
      </c>
      <c r="G10" s="6">
        <v>5.3237520629052298E-3</v>
      </c>
      <c r="H10" s="6">
        <v>1.90796861360188E-4</v>
      </c>
      <c r="I10" s="6">
        <v>5.1792048403917802E-3</v>
      </c>
    </row>
    <row r="14" spans="1:9" x14ac:dyDescent="0.35">
      <c r="B14">
        <v>1</v>
      </c>
      <c r="C14">
        <v>2</v>
      </c>
    </row>
    <row r="15" spans="1:9" x14ac:dyDescent="0.35">
      <c r="A15" t="s">
        <v>41</v>
      </c>
      <c r="B15" cm="1">
        <f t="array" ref="B15">MMULT(MMULT(TRANSPOSE(B6:B10),E6:I10),B6:B10)+0.1^2</f>
        <v>2.2726044494355089E-2</v>
      </c>
      <c r="C15">
        <f t="array" ref="C15">MMULT(MMULT(TRANSPOSE(C6:C10),E6:I10),C6:C10)+0.1^2</f>
        <v>4.3146232512873466E-2</v>
      </c>
      <c r="D15">
        <f>B15/C15</f>
        <v>0.52672141159890051</v>
      </c>
    </row>
    <row r="16" spans="1:9" x14ac:dyDescent="0.35">
      <c r="A16" t="s">
        <v>40</v>
      </c>
      <c r="C16">
        <f t="array" ref="C16">MMULT(MMULT(TRANSPOSE(B6:B10),E6:I10),C6:C10)</f>
        <v>1.3623664786858856E-2</v>
      </c>
      <c r="D16">
        <f>C16/B15</f>
        <v>0.59947364752554422</v>
      </c>
    </row>
    <row r="17" spans="1:3" x14ac:dyDescent="0.35">
      <c r="A17" t="s">
        <v>42</v>
      </c>
      <c r="B17" t="s">
        <v>43</v>
      </c>
      <c r="C17">
        <f>C16/C15</f>
        <v>0.31575560584099638</v>
      </c>
    </row>
    <row r="20" spans="1:3" x14ac:dyDescent="0.35">
      <c r="B20" s="20" t="s">
        <v>53</v>
      </c>
      <c r="C20" t="s">
        <v>108</v>
      </c>
    </row>
    <row r="21" spans="1:3" x14ac:dyDescent="0.35">
      <c r="B21" t="s">
        <v>54</v>
      </c>
      <c r="C21" t="s">
        <v>109</v>
      </c>
    </row>
    <row r="22" spans="1:3" x14ac:dyDescent="0.35">
      <c r="B22" t="s">
        <v>96</v>
      </c>
      <c r="C22" t="s">
        <v>110</v>
      </c>
    </row>
    <row r="23" spans="1:3" x14ac:dyDescent="0.35">
      <c r="B23" t="s">
        <v>97</v>
      </c>
      <c r="C23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5CE8F-F437-4865-89A9-0ED5CDAC4DF1}">
  <dimension ref="B3:G39"/>
  <sheetViews>
    <sheetView workbookViewId="0">
      <selection activeCell="B36" sqref="B36"/>
    </sheetView>
  </sheetViews>
  <sheetFormatPr defaultRowHeight="14.5" x14ac:dyDescent="0.35"/>
  <cols>
    <col min="3" max="3" width="18.54296875" bestFit="1" customWidth="1"/>
    <col min="4" max="4" width="20.54296875" bestFit="1" customWidth="1"/>
  </cols>
  <sheetData>
    <row r="3" spans="2:7" ht="15.5" x14ac:dyDescent="0.35">
      <c r="B3" s="8" t="s">
        <v>45</v>
      </c>
    </row>
    <row r="4" spans="2:7" ht="15.5" x14ac:dyDescent="0.35">
      <c r="B4" s="8"/>
    </row>
    <row r="5" spans="2:7" ht="15.5" x14ac:dyDescent="0.35">
      <c r="B5" s="9" t="s">
        <v>46</v>
      </c>
    </row>
    <row r="9" spans="2:7" ht="15.5" x14ac:dyDescent="0.35">
      <c r="B9" s="33"/>
      <c r="C9" s="35" t="s">
        <v>47</v>
      </c>
      <c r="D9" s="35" t="s">
        <v>6</v>
      </c>
      <c r="E9" s="35" t="e" vm="1">
        <v>#VALUE!</v>
      </c>
      <c r="F9" s="35" t="e" vm="2">
        <v>#VALUE!</v>
      </c>
      <c r="G9" s="10"/>
    </row>
    <row r="10" spans="2:7" ht="16" thickBot="1" x14ac:dyDescent="0.4">
      <c r="B10" s="34"/>
      <c r="C10" s="36"/>
      <c r="D10" s="36"/>
      <c r="E10" s="36"/>
      <c r="F10" s="36"/>
      <c r="G10" s="11" t="s">
        <v>52</v>
      </c>
    </row>
    <row r="11" spans="2:7" ht="15.5" x14ac:dyDescent="0.35">
      <c r="B11" s="12" t="s">
        <v>48</v>
      </c>
      <c r="C11" s="13">
        <v>0.1</v>
      </c>
      <c r="D11" s="13">
        <v>0.18</v>
      </c>
      <c r="E11" s="14">
        <v>1.2</v>
      </c>
      <c r="F11" s="14">
        <v>0.1</v>
      </c>
      <c r="G11" s="14">
        <v>0.5</v>
      </c>
    </row>
    <row r="12" spans="2:7" ht="15.5" x14ac:dyDescent="0.35">
      <c r="B12" s="12" t="s">
        <v>49</v>
      </c>
      <c r="C12" s="15">
        <v>0.04</v>
      </c>
      <c r="D12" s="15">
        <v>0.15</v>
      </c>
      <c r="E12" s="9">
        <v>0.8</v>
      </c>
      <c r="F12" s="9">
        <v>0.3</v>
      </c>
      <c r="G12" s="16"/>
    </row>
    <row r="13" spans="2:7" ht="15.5" x14ac:dyDescent="0.35">
      <c r="B13" s="12" t="s">
        <v>50</v>
      </c>
      <c r="C13" s="13">
        <v>7.0000000000000007E-2</v>
      </c>
      <c r="D13" s="13">
        <v>0.12</v>
      </c>
      <c r="E13" s="14">
        <v>1</v>
      </c>
      <c r="F13" s="14">
        <v>0</v>
      </c>
      <c r="G13" s="17"/>
    </row>
    <row r="14" spans="2:7" ht="15.5" x14ac:dyDescent="0.35">
      <c r="B14" s="12" t="s">
        <v>51</v>
      </c>
      <c r="C14" s="15">
        <v>0.05</v>
      </c>
      <c r="D14" s="15">
        <v>0.1</v>
      </c>
      <c r="E14" s="9">
        <v>0</v>
      </c>
      <c r="F14" s="9">
        <v>1</v>
      </c>
      <c r="G14" s="16"/>
    </row>
    <row r="15" spans="2:7" ht="15.5" x14ac:dyDescent="0.35">
      <c r="B15" s="18"/>
    </row>
    <row r="16" spans="2:7" ht="15.5" x14ac:dyDescent="0.35">
      <c r="B16" s="19" t="s">
        <v>58</v>
      </c>
    </row>
    <row r="17" spans="2:5" x14ac:dyDescent="0.35">
      <c r="C17" t="s">
        <v>55</v>
      </c>
      <c r="D17" t="s">
        <v>27</v>
      </c>
    </row>
    <row r="18" spans="2:5" x14ac:dyDescent="0.35">
      <c r="B18" t="s">
        <v>53</v>
      </c>
      <c r="C18" s="7">
        <f>E11*C13+F11*C14</f>
        <v>8.900000000000001E-2</v>
      </c>
      <c r="D18" s="7">
        <f>C11-C18</f>
        <v>1.0999999999999996E-2</v>
      </c>
      <c r="E18" t="s">
        <v>57</v>
      </c>
    </row>
    <row r="19" spans="2:5" x14ac:dyDescent="0.35">
      <c r="B19" t="s">
        <v>54</v>
      </c>
      <c r="C19" s="7">
        <f>E12*C13+F12*C14</f>
        <v>7.1000000000000008E-2</v>
      </c>
      <c r="D19" s="7">
        <f>C12-C19</f>
        <v>-3.1000000000000007E-2</v>
      </c>
      <c r="E19" t="s">
        <v>56</v>
      </c>
    </row>
    <row r="20" spans="2:5" x14ac:dyDescent="0.35">
      <c r="C20" s="30">
        <f>C11-E11*C13</f>
        <v>1.6E-2</v>
      </c>
    </row>
    <row r="21" spans="2:5" x14ac:dyDescent="0.35">
      <c r="C21" s="30">
        <f>C12-E11*C13</f>
        <v>-4.4000000000000004E-2</v>
      </c>
    </row>
    <row r="22" spans="2:5" ht="15.5" x14ac:dyDescent="0.35">
      <c r="B22" t="s">
        <v>59</v>
      </c>
      <c r="C22" s="19" t="s">
        <v>62</v>
      </c>
    </row>
    <row r="24" spans="2:5" x14ac:dyDescent="0.35">
      <c r="B24" t="s">
        <v>60</v>
      </c>
      <c r="C24">
        <f>0.5^2*D11^2+0.5^2*D12^2+2*0.5*0.5*G11*D11*D12</f>
        <v>2.0475E-2</v>
      </c>
    </row>
    <row r="25" spans="2:5" x14ac:dyDescent="0.35">
      <c r="B25" t="s">
        <v>61</v>
      </c>
      <c r="C25">
        <f>SQRT(C24)</f>
        <v>0.14309088021254185</v>
      </c>
      <c r="D25">
        <v>0.17499999999999999</v>
      </c>
    </row>
    <row r="26" spans="2:5" x14ac:dyDescent="0.35">
      <c r="B26" t="s">
        <v>63</v>
      </c>
      <c r="C26">
        <f>0.5*C11+0.5*C12+NORMSINV(0.05)*C25</f>
        <v>-0.16536355330127817</v>
      </c>
      <c r="D26">
        <f>0.5*D11+0.5*D12+NORMSINV(0.05)*D25</f>
        <v>-0.12284938471650769</v>
      </c>
      <c r="E26" t="s">
        <v>64</v>
      </c>
    </row>
    <row r="27" spans="2:5" x14ac:dyDescent="0.35">
      <c r="D27" s="27">
        <f>-1.65*C25</f>
        <v>-0.23609995235069403</v>
      </c>
    </row>
    <row r="30" spans="2:5" x14ac:dyDescent="0.35">
      <c r="B30" t="s">
        <v>53</v>
      </c>
      <c r="C30" t="s">
        <v>112</v>
      </c>
    </row>
    <row r="31" spans="2:5" x14ac:dyDescent="0.35">
      <c r="B31" s="20" t="s">
        <v>54</v>
      </c>
      <c r="C31" t="s">
        <v>113</v>
      </c>
    </row>
    <row r="32" spans="2:5" x14ac:dyDescent="0.35">
      <c r="B32" t="s">
        <v>96</v>
      </c>
      <c r="C32" t="s">
        <v>114</v>
      </c>
    </row>
    <row r="33" spans="2:3" x14ac:dyDescent="0.35">
      <c r="B33" t="s">
        <v>97</v>
      </c>
      <c r="C33" t="s">
        <v>115</v>
      </c>
    </row>
    <row r="36" spans="2:3" x14ac:dyDescent="0.35">
      <c r="B36" s="20" t="s">
        <v>53</v>
      </c>
      <c r="C36" t="s">
        <v>116</v>
      </c>
    </row>
    <row r="37" spans="2:3" x14ac:dyDescent="0.35">
      <c r="B37" t="s">
        <v>54</v>
      </c>
      <c r="C37" t="s">
        <v>117</v>
      </c>
    </row>
    <row r="38" spans="2:3" x14ac:dyDescent="0.35">
      <c r="B38" t="s">
        <v>96</v>
      </c>
      <c r="C38" t="s">
        <v>118</v>
      </c>
    </row>
    <row r="39" spans="2:3" x14ac:dyDescent="0.35">
      <c r="B39" t="s">
        <v>97</v>
      </c>
      <c r="C39" t="s">
        <v>119</v>
      </c>
    </row>
  </sheetData>
  <mergeCells count="5">
    <mergeCell ref="B9:B10"/>
    <mergeCell ref="C9:C10"/>
    <mergeCell ref="D9:D10"/>
    <mergeCell ref="E9:E10"/>
    <mergeCell ref="F9:F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A9624-7D47-4411-850A-156133AF6BCF}">
  <dimension ref="B2:I17"/>
  <sheetViews>
    <sheetView workbookViewId="0">
      <selection activeCell="B14" sqref="B14"/>
    </sheetView>
  </sheetViews>
  <sheetFormatPr defaultRowHeight="14.5" x14ac:dyDescent="0.35"/>
  <sheetData>
    <row r="2" spans="2:9" x14ac:dyDescent="0.35">
      <c r="B2" t="s">
        <v>65</v>
      </c>
    </row>
    <row r="3" spans="2:9" x14ac:dyDescent="0.35">
      <c r="B3" t="s">
        <v>66</v>
      </c>
      <c r="C3">
        <v>50000</v>
      </c>
      <c r="E3">
        <v>50000</v>
      </c>
      <c r="F3">
        <f>E3*(1+$C$8)</f>
        <v>51000</v>
      </c>
      <c r="G3">
        <f t="shared" ref="G3:I3" si="0">F3*(1+$C$8)</f>
        <v>52020</v>
      </c>
      <c r="H3">
        <f t="shared" si="0"/>
        <v>53060.4</v>
      </c>
      <c r="I3">
        <f t="shared" si="0"/>
        <v>54121.608</v>
      </c>
    </row>
    <row r="4" spans="2:9" x14ac:dyDescent="0.35">
      <c r="B4" t="s">
        <v>67</v>
      </c>
      <c r="C4">
        <f>C9*(C7-C8)/(1-((1+C8)/(1+C7))^5)</f>
        <v>13588.61297858463</v>
      </c>
      <c r="E4">
        <v>1</v>
      </c>
      <c r="F4">
        <v>2</v>
      </c>
      <c r="G4">
        <v>3</v>
      </c>
      <c r="H4">
        <v>4</v>
      </c>
      <c r="I4">
        <v>5</v>
      </c>
    </row>
    <row r="5" spans="2:9" x14ac:dyDescent="0.35">
      <c r="B5" t="s">
        <v>68</v>
      </c>
      <c r="C5" s="20">
        <f>C4/C3</f>
        <v>0.2717722595716926</v>
      </c>
      <c r="E5">
        <f>E3*$C$5</f>
        <v>13588.61297858463</v>
      </c>
      <c r="F5">
        <f t="shared" ref="F5:I5" si="1">F3*$C$5</f>
        <v>13860.385238156323</v>
      </c>
      <c r="G5">
        <f t="shared" si="1"/>
        <v>14137.592942919449</v>
      </c>
      <c r="H5">
        <f t="shared" si="1"/>
        <v>14420.344801777839</v>
      </c>
      <c r="I5">
        <f t="shared" si="1"/>
        <v>14708.751697813395</v>
      </c>
    </row>
    <row r="6" spans="2:9" x14ac:dyDescent="0.35">
      <c r="B6" t="s">
        <v>69</v>
      </c>
      <c r="C6">
        <v>75000</v>
      </c>
      <c r="D6">
        <f>SUM(E6:I6)</f>
        <v>64695.658828812302</v>
      </c>
      <c r="E6">
        <f>E5/(1+$C$7)^E4</f>
        <v>13192.828134548185</v>
      </c>
      <c r="F6">
        <f t="shared" ref="F6:I6" si="2">F5/(1+$C$7)^F4</f>
        <v>13064.742424504027</v>
      </c>
      <c r="G6">
        <f t="shared" si="2"/>
        <v>12937.900265042823</v>
      </c>
      <c r="H6">
        <f t="shared" si="2"/>
        <v>12812.289582857944</v>
      </c>
      <c r="I6">
        <f t="shared" si="2"/>
        <v>12687.898421859323</v>
      </c>
    </row>
    <row r="7" spans="2:9" x14ac:dyDescent="0.35">
      <c r="B7" t="s">
        <v>70</v>
      </c>
      <c r="C7" s="1">
        <v>0.03</v>
      </c>
    </row>
    <row r="8" spans="2:9" x14ac:dyDescent="0.35">
      <c r="B8" t="s">
        <v>71</v>
      </c>
      <c r="C8" s="1">
        <v>0.02</v>
      </c>
    </row>
    <row r="9" spans="2:9" x14ac:dyDescent="0.35">
      <c r="B9" t="s">
        <v>72</v>
      </c>
      <c r="C9">
        <f>C6/(1+C7)^5</f>
        <v>64695.658828812309</v>
      </c>
    </row>
    <row r="11" spans="2:9" x14ac:dyDescent="0.35">
      <c r="B11" t="s">
        <v>73</v>
      </c>
    </row>
    <row r="14" spans="2:9" x14ac:dyDescent="0.35">
      <c r="B14" t="b">
        <v>1</v>
      </c>
      <c r="C14" t="s">
        <v>74</v>
      </c>
    </row>
    <row r="15" spans="2:9" x14ac:dyDescent="0.35">
      <c r="B15" t="b">
        <v>0</v>
      </c>
      <c r="C15" t="s">
        <v>75</v>
      </c>
    </row>
    <row r="16" spans="2:9" x14ac:dyDescent="0.35">
      <c r="B16" t="b">
        <v>0</v>
      </c>
      <c r="C16" t="s">
        <v>76</v>
      </c>
    </row>
    <row r="17" spans="2:3" x14ac:dyDescent="0.35">
      <c r="B17" t="b">
        <v>0</v>
      </c>
      <c r="C17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2ACE4-D672-4351-85E3-E6A6F9E5E16F}">
  <dimension ref="B2:K20"/>
  <sheetViews>
    <sheetView tabSelected="1" workbookViewId="0">
      <selection activeCell="L32" sqref="L32"/>
    </sheetView>
  </sheetViews>
  <sheetFormatPr defaultRowHeight="14.5" x14ac:dyDescent="0.35"/>
  <sheetData>
    <row r="2" spans="2:11" x14ac:dyDescent="0.35">
      <c r="B2" t="s">
        <v>78</v>
      </c>
    </row>
    <row r="3" spans="2:11" x14ac:dyDescent="0.35">
      <c r="H3" t="s">
        <v>79</v>
      </c>
      <c r="I3" t="s">
        <v>80</v>
      </c>
    </row>
    <row r="4" spans="2:11" x14ac:dyDescent="0.35">
      <c r="C4" t="s">
        <v>81</v>
      </c>
      <c r="D4" t="s">
        <v>82</v>
      </c>
      <c r="H4" t="s">
        <v>83</v>
      </c>
      <c r="I4" t="s">
        <v>84</v>
      </c>
      <c r="J4" t="s">
        <v>85</v>
      </c>
    </row>
    <row r="5" spans="2:11" x14ac:dyDescent="0.35">
      <c r="B5" t="s">
        <v>86</v>
      </c>
      <c r="C5" s="2">
        <v>10</v>
      </c>
      <c r="D5" s="2"/>
      <c r="J5" s="21">
        <v>1</v>
      </c>
    </row>
    <row r="6" spans="2:11" x14ac:dyDescent="0.35">
      <c r="B6" s="22">
        <v>44866</v>
      </c>
      <c r="C6" s="2">
        <v>11.9</v>
      </c>
      <c r="D6" s="2">
        <v>0.2</v>
      </c>
      <c r="H6">
        <f>(C6+D6)/C5</f>
        <v>1.21</v>
      </c>
      <c r="I6" s="21">
        <f>D6*J5</f>
        <v>0.2</v>
      </c>
      <c r="J6" s="21">
        <f>J5+D6/C6</f>
        <v>1.0168067226890756</v>
      </c>
    </row>
    <row r="7" spans="2:11" x14ac:dyDescent="0.35">
      <c r="B7" s="22">
        <v>44927</v>
      </c>
      <c r="C7" s="2">
        <v>9.6</v>
      </c>
      <c r="D7" s="2">
        <v>0.5</v>
      </c>
      <c r="H7">
        <f>(C7+D7)/C6</f>
        <v>0.84873949579831931</v>
      </c>
      <c r="I7">
        <f>D7*J6</f>
        <v>0.50840336134453779</v>
      </c>
      <c r="J7" s="21">
        <f>J6+I7/C7</f>
        <v>1.0697654061624648</v>
      </c>
    </row>
    <row r="8" spans="2:11" x14ac:dyDescent="0.35">
      <c r="B8" s="22">
        <v>44980</v>
      </c>
      <c r="C8" s="2">
        <v>14.2</v>
      </c>
      <c r="D8" s="2">
        <v>0.6</v>
      </c>
      <c r="H8">
        <f>(C8+D8)/C7</f>
        <v>1.5416666666666665</v>
      </c>
      <c r="I8">
        <f>D8*J7</f>
        <v>0.64185924369747893</v>
      </c>
      <c r="J8" s="21">
        <f>J7+I8/C8</f>
        <v>1.1149667613524281</v>
      </c>
    </row>
    <row r="9" spans="2:11" x14ac:dyDescent="0.35">
      <c r="B9" s="22">
        <v>45017</v>
      </c>
      <c r="C9" s="2">
        <v>17.2</v>
      </c>
      <c r="D9" s="2">
        <v>0.6</v>
      </c>
      <c r="H9">
        <f>(C9+D9)/C8</f>
        <v>1.2535211267605635</v>
      </c>
      <c r="I9">
        <f>D9*J8</f>
        <v>0.66898005681145689</v>
      </c>
      <c r="J9" s="21">
        <f>J8+I9/C9</f>
        <v>1.1538609507019315</v>
      </c>
    </row>
    <row r="10" spans="2:11" x14ac:dyDescent="0.35">
      <c r="B10" s="22">
        <v>45108</v>
      </c>
      <c r="C10" s="2">
        <v>16.3</v>
      </c>
      <c r="D10" s="2"/>
      <c r="H10">
        <f>(C10+D10)/C9</f>
        <v>0.94767441860465129</v>
      </c>
      <c r="J10" s="21">
        <f>J9+I10/C10</f>
        <v>1.1538609507019315</v>
      </c>
    </row>
    <row r="11" spans="2:11" x14ac:dyDescent="0.35">
      <c r="C11" s="2"/>
      <c r="D11" s="2"/>
      <c r="I11" s="2"/>
      <c r="J11" s="2"/>
    </row>
    <row r="12" spans="2:11" x14ac:dyDescent="0.35">
      <c r="E12" s="2"/>
      <c r="F12" s="2" t="s">
        <v>87</v>
      </c>
      <c r="H12" s="5">
        <f>PRODUCT(H6:H10)-1</f>
        <v>0.88079334964414868</v>
      </c>
      <c r="J12" s="2" t="s">
        <v>87</v>
      </c>
      <c r="K12">
        <f>J10*C10/C5-1</f>
        <v>0.88079334964414846</v>
      </c>
    </row>
    <row r="13" spans="2:11" x14ac:dyDescent="0.35">
      <c r="E13" s="2"/>
      <c r="F13" s="23" t="s">
        <v>88</v>
      </c>
      <c r="H13" s="2"/>
      <c r="J13" s="3" t="s">
        <v>89</v>
      </c>
    </row>
    <row r="15" spans="2:11" x14ac:dyDescent="0.35">
      <c r="B15" t="s">
        <v>94</v>
      </c>
    </row>
    <row r="17" spans="2:3" x14ac:dyDescent="0.35">
      <c r="B17" t="b">
        <v>1</v>
      </c>
      <c r="C17" s="5" t="s">
        <v>90</v>
      </c>
    </row>
    <row r="18" spans="2:3" x14ac:dyDescent="0.35">
      <c r="B18" t="b">
        <v>0</v>
      </c>
      <c r="C18" t="s">
        <v>91</v>
      </c>
    </row>
    <row r="19" spans="2:3" x14ac:dyDescent="0.35">
      <c r="B19" t="b">
        <v>0</v>
      </c>
      <c r="C19" t="s">
        <v>92</v>
      </c>
    </row>
    <row r="20" spans="2:3" x14ac:dyDescent="0.35">
      <c r="B20" t="b">
        <v>0</v>
      </c>
      <c r="C20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Exercise 1</vt:lpstr>
      <vt:lpstr>Exercise 2</vt:lpstr>
      <vt:lpstr>Exercise 3</vt:lpstr>
      <vt:lpstr>Exercise 4</vt:lpstr>
      <vt:lpstr>Exercise 5</vt:lpstr>
      <vt:lpstr>Exercise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martijn boons</dc:creator>
  <cp:lastModifiedBy>Martijn Boons</cp:lastModifiedBy>
  <dcterms:created xsi:type="dcterms:W3CDTF">2015-06-05T18:19:34Z</dcterms:created>
  <dcterms:modified xsi:type="dcterms:W3CDTF">2025-03-18T13:38:09Z</dcterms:modified>
</cp:coreProperties>
</file>