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0" yWindow="0" windowWidth="25600" windowHeight="14540" tabRatio="500"/>
  </bookViews>
  <sheets>
    <sheet name="Fresh Fruits" sheetId="1" r:id="rId1"/>
    <sheet name="FunTim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0" i="1" l="1"/>
  <c r="F56" i="1"/>
  <c r="C54" i="1"/>
  <c r="F54" i="1"/>
  <c r="F58" i="1"/>
  <c r="F61" i="1"/>
  <c r="C62" i="1"/>
  <c r="F62" i="1"/>
  <c r="F64" i="1"/>
  <c r="F66" i="1"/>
  <c r="F68" i="1"/>
  <c r="F70" i="1"/>
  <c r="C101" i="1"/>
  <c r="C102" i="1"/>
  <c r="C100" i="1"/>
  <c r="C35" i="1"/>
  <c r="C36" i="1"/>
  <c r="C38" i="1"/>
  <c r="C105" i="1"/>
  <c r="C106" i="1"/>
  <c r="C104" i="1"/>
  <c r="C108" i="1"/>
  <c r="C98" i="1"/>
  <c r="E38" i="2"/>
  <c r="E37" i="2"/>
  <c r="E36" i="2"/>
  <c r="E35" i="2"/>
  <c r="F41" i="2"/>
  <c r="F42" i="2"/>
  <c r="G49" i="2"/>
  <c r="G43" i="2"/>
  <c r="D34" i="2"/>
  <c r="F46" i="2"/>
  <c r="F47" i="2"/>
  <c r="G48" i="2"/>
  <c r="H26" i="2"/>
  <c r="D28" i="2"/>
  <c r="D6" i="2"/>
  <c r="D8" i="2"/>
  <c r="D13" i="2"/>
  <c r="D14" i="2"/>
  <c r="D15" i="2"/>
  <c r="D16" i="2"/>
  <c r="D17" i="2"/>
  <c r="D19" i="2"/>
  <c r="E8" i="2"/>
  <c r="E13" i="2"/>
  <c r="E14" i="2"/>
  <c r="E15" i="2"/>
  <c r="E16" i="2"/>
  <c r="E17" i="2"/>
  <c r="E19" i="2"/>
  <c r="F26" i="1"/>
  <c r="C12" i="1"/>
  <c r="F28" i="1"/>
  <c r="C13" i="1"/>
  <c r="G13" i="1"/>
  <c r="G16" i="1"/>
  <c r="G18" i="1"/>
  <c r="C14" i="1"/>
  <c r="C16" i="1"/>
  <c r="C18" i="1"/>
  <c r="C41" i="1"/>
  <c r="D12" i="1"/>
  <c r="D13" i="1"/>
  <c r="D14" i="1"/>
  <c r="D16" i="1"/>
  <c r="D18" i="1"/>
  <c r="C42" i="1"/>
  <c r="C44" i="1"/>
  <c r="C46" i="1"/>
  <c r="C82" i="1"/>
  <c r="C89" i="1"/>
  <c r="C88" i="1"/>
  <c r="C90" i="1"/>
  <c r="C48" i="1"/>
  <c r="C56" i="1"/>
  <c r="C58" i="1"/>
  <c r="C66" i="1"/>
  <c r="C70" i="1"/>
  <c r="H86" i="1"/>
  <c r="F82" i="1"/>
  <c r="F12" i="1"/>
  <c r="F16" i="1"/>
  <c r="F18" i="1"/>
  <c r="F7" i="1"/>
  <c r="F20" i="1"/>
  <c r="E13" i="1"/>
  <c r="E16" i="1"/>
  <c r="E18" i="1"/>
  <c r="E7" i="1"/>
  <c r="E20" i="1"/>
  <c r="D20" i="1"/>
  <c r="C20" i="1"/>
  <c r="H14" i="1"/>
  <c r="H12" i="1"/>
  <c r="H13" i="1"/>
  <c r="H16" i="1"/>
  <c r="H9" i="1"/>
  <c r="H18" i="1"/>
</calcChain>
</file>

<file path=xl/sharedStrings.xml><?xml version="1.0" encoding="utf-8"?>
<sst xmlns="http://schemas.openxmlformats.org/spreadsheetml/2006/main" count="131" uniqueCount="113">
  <si>
    <t>FRESH FRUITS, LTD.</t>
  </si>
  <si>
    <t>1. Map with the costs of each cost centre using the simultaneous equation method</t>
  </si>
  <si>
    <t>Refrigerating Chambers</t>
  </si>
  <si>
    <t>Calibration &amp; Packing</t>
  </si>
  <si>
    <t>Cooling Tower</t>
  </si>
  <si>
    <t>Power Station</t>
  </si>
  <si>
    <t>GMO</t>
  </si>
  <si>
    <t>Total</t>
  </si>
  <si>
    <t xml:space="preserve">1. Direct costs </t>
  </si>
  <si>
    <t>2. Reallocation of costs</t>
  </si>
  <si>
    <t>Cooling tower</t>
  </si>
  <si>
    <t>Power station</t>
  </si>
  <si>
    <t>Total 2</t>
  </si>
  <si>
    <t>3. Total Costs</t>
  </si>
  <si>
    <t>4. Unitary costs</t>
  </si>
  <si>
    <t>Simultaneous equation:</t>
  </si>
  <si>
    <t>X = (7525€ + 21500 * Y) / 240</t>
  </si>
  <si>
    <t>Y = (2350€ + 75 * X) / 55600</t>
  </si>
  <si>
    <t>(Cooling Tower)</t>
  </si>
  <si>
    <t>(Power Station)</t>
  </si>
  <si>
    <t>X =</t>
  </si>
  <si>
    <t>Y =</t>
  </si>
  <si>
    <t>2. COGM of packed fruits</t>
  </si>
  <si>
    <t>1. Direct Materials</t>
  </si>
  <si>
    <t>Fruits</t>
  </si>
  <si>
    <t>Pack material</t>
  </si>
  <si>
    <t>Total 1</t>
  </si>
  <si>
    <t>2. Conversion costs</t>
  </si>
  <si>
    <t>Calibration &amp; packing</t>
  </si>
  <si>
    <t>3. COGM</t>
  </si>
  <si>
    <t>4. COGM per unit</t>
  </si>
  <si>
    <t>3. P&amp;L</t>
  </si>
  <si>
    <t>Sales revenues</t>
  </si>
  <si>
    <t>COGS</t>
  </si>
  <si>
    <t>Gross Profit</t>
  </si>
  <si>
    <t>Costs of Distribution</t>
  </si>
  <si>
    <t>Fixed</t>
  </si>
  <si>
    <t>Variable</t>
  </si>
  <si>
    <t>Administrative Costs</t>
  </si>
  <si>
    <t>Financial Expenses</t>
  </si>
  <si>
    <t>Operacional Profit</t>
  </si>
  <si>
    <t>Profit Before Taxes</t>
  </si>
  <si>
    <t>(i) COGM</t>
  </si>
  <si>
    <t>Thus, COGM (FCPC) =</t>
  </si>
  <si>
    <t>and</t>
  </si>
  <si>
    <t>COGM per unit =</t>
  </si>
  <si>
    <t>(ii) Profit Before Taxes</t>
  </si>
  <si>
    <t>Because Production = Sales and company is using LIFO as inventory valuation method, Profit Before Taxes (FCPC) = Profit Before Taxes (TFC) =</t>
  </si>
  <si>
    <t>COGS (FCPC) =</t>
  </si>
  <si>
    <t>Under-recovery of Overheads</t>
  </si>
  <si>
    <t>COGS + Under-recovery</t>
  </si>
  <si>
    <t>under FCPC are charged directly to the P&amp;L of December (under the 'Period Cost Adjustment - Under Recovery of Overheads' item).</t>
  </si>
  <si>
    <t>(80% of fixed costs of cost centres)</t>
  </si>
  <si>
    <t>Thus, if the company uses FCPC, its PBT will keep the same of TFC.</t>
  </si>
  <si>
    <t>Activity of cost centres is 20% below their practical capacity, hence cost centre's actual activity = 80% of practical capacity. Under FCPC</t>
  </si>
  <si>
    <t>manufacturing costs to assign to packed fruits is 80% of manufacturing fixed costs.</t>
  </si>
  <si>
    <t xml:space="preserve">COGM will decrease because 20% of the fixed costs of Refigerating Chambers, Calibration, Cooling Tower, Power Station and GMO </t>
  </si>
  <si>
    <t>4. If the company uses FCPC, what is the impact on:</t>
  </si>
  <si>
    <t>FUNTIME, Ltd.</t>
  </si>
  <si>
    <t>1. Static and Flexible Budgeted Profit and Loss Account</t>
  </si>
  <si>
    <t>1. Sales revenues</t>
  </si>
  <si>
    <t>2. Cost of Sales (Variables)</t>
  </si>
  <si>
    <t xml:space="preserve">        Direct Materials</t>
  </si>
  <si>
    <t xml:space="preserve">             Housing unit</t>
  </si>
  <si>
    <t xml:space="preserve">            Printed circuit boards</t>
  </si>
  <si>
    <t xml:space="preserve">            Reading heads</t>
  </si>
  <si>
    <t xml:space="preserve">        Direct Labour</t>
  </si>
  <si>
    <t xml:space="preserve">        Variable Overheads</t>
  </si>
  <si>
    <t>3. Contribution Margin</t>
  </si>
  <si>
    <t>Static</t>
  </si>
  <si>
    <t>Flexible</t>
  </si>
  <si>
    <t>Sales margin volume variance =</t>
  </si>
  <si>
    <t>Sales margin volume variance = (Actual sales volume - Budgeted sales volume) X Standard contribution margin per unit</t>
  </si>
  <si>
    <t>Actual sales volume =</t>
  </si>
  <si>
    <t>Standard contrib. margin per unit = Standard unit sales price -  Standard costs per unit =</t>
  </si>
  <si>
    <t>Thus budgeted sales volume =</t>
  </si>
  <si>
    <t>2. Missing information in the reconciliation report</t>
  </si>
  <si>
    <t>(a) =</t>
  </si>
  <si>
    <t>(b) =</t>
  </si>
  <si>
    <t>(c) =</t>
  </si>
  <si>
    <t>(d) =</t>
  </si>
  <si>
    <t>(e) =</t>
  </si>
  <si>
    <t>(f) =</t>
  </si>
  <si>
    <t>(200 - 200 ) X 2200 =</t>
  </si>
  <si>
    <t>Direct materials volume (usage) variance</t>
  </si>
  <si>
    <t xml:space="preserve">     Housing unit</t>
  </si>
  <si>
    <t xml:space="preserve">     Printed circuit boards</t>
  </si>
  <si>
    <t xml:space="preserve">     Reading heads</t>
  </si>
  <si>
    <t>Direct materials price variance =</t>
  </si>
  <si>
    <t>(1 X 2200 - 2200 ) X 20€ =</t>
  </si>
  <si>
    <t>(2 X 2200 - 4700 ) X 15€ =</t>
  </si>
  <si>
    <t>(4 X 2200 - Actual Quantity) X 10€ =</t>
  </si>
  <si>
    <t>(15€ - 75200/4700) X 4700 =</t>
  </si>
  <si>
    <t>(20€ - 44000/2200) X 2200 =</t>
  </si>
  <si>
    <t>(10€ X actual quantity - 101200€) =</t>
  </si>
  <si>
    <t>Hence, actual quantity =</t>
  </si>
  <si>
    <t>see below</t>
  </si>
  <si>
    <t>(4,5 X 2200 - 9800) X 8,(8) =</t>
  </si>
  <si>
    <t>(4,5 X 2200 - 9800) X 2 =</t>
  </si>
  <si>
    <t>(2€ - 18800€/9800) X 9800 =</t>
  </si>
  <si>
    <t>Actual revenues - Actual costs =</t>
  </si>
  <si>
    <t>3. The statement is false.</t>
  </si>
  <si>
    <t>Because production volume = sales volume and the inventory valuation method = LIFO, profit with variable costing = profit with TFC = profit with FCPC</t>
  </si>
  <si>
    <t>BEP* = FC / (SP - VCu) =</t>
  </si>
  <si>
    <t>FC =</t>
  </si>
  <si>
    <t xml:space="preserve">     Manufacturing =</t>
  </si>
  <si>
    <t xml:space="preserve">     Non-manufacturing =</t>
  </si>
  <si>
    <t>Variable costs =</t>
  </si>
  <si>
    <t>Hence, VCu =</t>
  </si>
  <si>
    <t>Or, if students use COGM u = 600 €</t>
  </si>
  <si>
    <t>[Students can also say that COGM decreases by 1910€ or that COGM per unit decreases by 5,457€/tonne]</t>
  </si>
  <si>
    <t>5. BEP* and BEP**</t>
  </si>
  <si>
    <t>BEP** = BEP* X SP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</si>
</sst>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00_-;\-* #,##0.0000000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2" xfId="0" applyBorder="1"/>
    <xf numFmtId="0" fontId="0" fillId="0" borderId="4" xfId="0" applyBorder="1"/>
    <xf numFmtId="43" fontId="0" fillId="0" borderId="0" xfId="1" applyFont="1" applyBorder="1"/>
    <xf numFmtId="43" fontId="0" fillId="0" borderId="6" xfId="1" applyFont="1" applyBorder="1"/>
    <xf numFmtId="0" fontId="0" fillId="0" borderId="7" xfId="0" applyBorder="1"/>
    <xf numFmtId="165" fontId="0" fillId="0" borderId="8" xfId="1" applyNumberFormat="1" applyFont="1" applyBorder="1"/>
    <xf numFmtId="43" fontId="0" fillId="0" borderId="8" xfId="1" applyFont="1" applyBorder="1"/>
    <xf numFmtId="43" fontId="0" fillId="0" borderId="9" xfId="1" applyFont="1" applyBorder="1"/>
    <xf numFmtId="0" fontId="0" fillId="0" borderId="10" xfId="0" applyBorder="1"/>
    <xf numFmtId="43" fontId="0" fillId="0" borderId="11" xfId="1" applyFont="1" applyBorder="1"/>
    <xf numFmtId="165" fontId="0" fillId="0" borderId="12" xfId="1" applyNumberFormat="1" applyFont="1" applyBorder="1"/>
    <xf numFmtId="43" fontId="0" fillId="0" borderId="12" xfId="1" applyFont="1" applyBorder="1"/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/>
    <xf numFmtId="43" fontId="0" fillId="0" borderId="1" xfId="1" applyFont="1" applyBorder="1"/>
    <xf numFmtId="43" fontId="0" fillId="0" borderId="14" xfId="1" applyFont="1" applyBorder="1"/>
    <xf numFmtId="43" fontId="0" fillId="0" borderId="15" xfId="1" applyFont="1" applyBorder="1"/>
    <xf numFmtId="43" fontId="0" fillId="0" borderId="10" xfId="1" applyFont="1" applyBorder="1"/>
    <xf numFmtId="43" fontId="0" fillId="0" borderId="3" xfId="1" applyFont="1" applyBorder="1"/>
    <xf numFmtId="43" fontId="0" fillId="0" borderId="4" xfId="1" applyFont="1" applyBorder="1"/>
    <xf numFmtId="164" fontId="0" fillId="0" borderId="15" xfId="1" applyNumberFormat="1" applyFont="1" applyBorder="1"/>
    <xf numFmtId="0" fontId="0" fillId="0" borderId="11" xfId="0" applyBorder="1"/>
    <xf numFmtId="0" fontId="0" fillId="0" borderId="1" xfId="0" applyBorder="1"/>
    <xf numFmtId="43" fontId="0" fillId="0" borderId="0" xfId="0" applyNumberFormat="1"/>
    <xf numFmtId="43" fontId="0" fillId="0" borderId="0" xfId="0" applyNumberFormat="1" applyAlignment="1">
      <alignment horizontal="left"/>
    </xf>
    <xf numFmtId="43" fontId="0" fillId="0" borderId="8" xfId="0" applyNumberFormat="1" applyBorder="1" applyAlignment="1">
      <alignment horizontal="left"/>
    </xf>
    <xf numFmtId="0" fontId="6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3" xfId="0" applyNumberFormat="1" applyBorder="1"/>
    <xf numFmtId="0" fontId="0" fillId="0" borderId="6" xfId="0" applyBorder="1"/>
    <xf numFmtId="43" fontId="0" fillId="0" borderId="0" xfId="0" applyNumberFormat="1" applyBorder="1"/>
    <xf numFmtId="0" fontId="0" fillId="0" borderId="9" xfId="0" applyBorder="1"/>
    <xf numFmtId="0" fontId="0" fillId="0" borderId="15" xfId="0" applyBorder="1"/>
    <xf numFmtId="0" fontId="0" fillId="0" borderId="0" xfId="0" applyAlignment="1">
      <alignment horizontal="right"/>
    </xf>
    <xf numFmtId="0" fontId="0" fillId="0" borderId="0" xfId="0" quotePrefix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1" applyNumberFormat="1" applyFont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NumberFormat="1" applyAlignment="1">
      <alignment horizontal="left"/>
    </xf>
    <xf numFmtId="43" fontId="0" fillId="0" borderId="10" xfId="0" applyNumberFormat="1" applyBorder="1"/>
    <xf numFmtId="43" fontId="0" fillId="0" borderId="11" xfId="0" applyNumberFormat="1" applyBorder="1"/>
    <xf numFmtId="43" fontId="0" fillId="0" borderId="1" xfId="0" applyNumberForma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0"/>
  <sheetViews>
    <sheetView showGridLines="0" tabSelected="1" workbookViewId="0">
      <selection activeCell="B2" sqref="B2:H2"/>
    </sheetView>
  </sheetViews>
  <sheetFormatPr baseColWidth="10" defaultRowHeight="15" x14ac:dyDescent="0"/>
  <cols>
    <col min="1" max="1" width="3.6640625" customWidth="1"/>
    <col min="2" max="2" width="28.5" customWidth="1"/>
    <col min="3" max="3" width="21.1640625" customWidth="1"/>
    <col min="4" max="4" width="20.1640625" customWidth="1"/>
    <col min="5" max="5" width="18.5" customWidth="1"/>
    <col min="6" max="6" width="15.1640625" customWidth="1"/>
    <col min="7" max="7" width="15.5" customWidth="1"/>
    <col min="8" max="8" width="14.5" customWidth="1"/>
  </cols>
  <sheetData>
    <row r="2" spans="2:8" ht="30">
      <c r="B2" s="63" t="s">
        <v>0</v>
      </c>
      <c r="C2" s="63"/>
      <c r="D2" s="63"/>
      <c r="E2" s="63"/>
      <c r="F2" s="63"/>
      <c r="G2" s="63"/>
      <c r="H2" s="63"/>
    </row>
    <row r="5" spans="2:8">
      <c r="B5" s="2" t="s">
        <v>1</v>
      </c>
    </row>
    <row r="7" spans="2:8">
      <c r="B7" s="15"/>
      <c r="C7" s="23">
        <v>8000</v>
      </c>
      <c r="D7" s="4">
        <v>530</v>
      </c>
      <c r="E7" s="23">
        <f>60+105+75</f>
        <v>240</v>
      </c>
      <c r="F7" s="4">
        <f>19600+9350+21500+5150</f>
        <v>55600</v>
      </c>
      <c r="G7" s="23"/>
      <c r="H7" s="16"/>
    </row>
    <row r="8" spans="2:8">
      <c r="B8" s="27"/>
      <c r="C8" s="28" t="s">
        <v>2</v>
      </c>
      <c r="D8" s="29" t="s">
        <v>3</v>
      </c>
      <c r="E8" s="28" t="s">
        <v>4</v>
      </c>
      <c r="F8" s="29" t="s">
        <v>5</v>
      </c>
      <c r="G8" s="28" t="s">
        <v>6</v>
      </c>
      <c r="H8" s="30" t="s">
        <v>7</v>
      </c>
    </row>
    <row r="9" spans="2:8">
      <c r="B9" s="15" t="s">
        <v>8</v>
      </c>
      <c r="C9" s="35">
        <v>4400</v>
      </c>
      <c r="D9" s="36">
        <v>9060</v>
      </c>
      <c r="E9" s="35">
        <v>7525</v>
      </c>
      <c r="F9" s="36">
        <v>2350</v>
      </c>
      <c r="G9" s="35">
        <v>4600</v>
      </c>
      <c r="H9" s="37">
        <f>+SUM(C9:G9)</f>
        <v>27935</v>
      </c>
    </row>
    <row r="10" spans="2:8">
      <c r="B10" s="19"/>
      <c r="C10" s="26"/>
      <c r="D10" s="21"/>
      <c r="E10" s="26"/>
      <c r="F10" s="21"/>
      <c r="G10" s="26"/>
      <c r="H10" s="22"/>
    </row>
    <row r="11" spans="2:8">
      <c r="B11" s="7" t="s">
        <v>9</v>
      </c>
      <c r="C11" s="24"/>
      <c r="D11" s="17"/>
      <c r="E11" s="24"/>
      <c r="F11" s="17"/>
      <c r="G11" s="24"/>
      <c r="H11" s="18"/>
    </row>
    <row r="12" spans="2:8">
      <c r="B12" s="7" t="s">
        <v>10</v>
      </c>
      <c r="C12" s="24">
        <f>60*F26</f>
        <v>2398.2355197545071</v>
      </c>
      <c r="D12" s="17">
        <f>105*F26</f>
        <v>4196.9121595703873</v>
      </c>
      <c r="E12" s="24">
        <v>0</v>
      </c>
      <c r="F12" s="17">
        <f>75*F26</f>
        <v>2997.7943996931335</v>
      </c>
      <c r="G12" s="24">
        <v>0</v>
      </c>
      <c r="H12" s="18">
        <f>+SUM(C12:G12)</f>
        <v>9592.9420790180284</v>
      </c>
    </row>
    <row r="13" spans="2:8">
      <c r="B13" s="7" t="s">
        <v>11</v>
      </c>
      <c r="C13" s="24">
        <f>19600*F28</f>
        <v>1885.193709244342</v>
      </c>
      <c r="D13" s="17">
        <f>9350*F28</f>
        <v>899.31434599156114</v>
      </c>
      <c r="E13" s="24">
        <f>21500*F28</f>
        <v>2067.9420790180284</v>
      </c>
      <c r="F13" s="17">
        <v>0</v>
      </c>
      <c r="G13" s="24">
        <f>5150*F28</f>
        <v>495.3442654392021</v>
      </c>
      <c r="H13" s="18">
        <f>+SUM(C13:G13)</f>
        <v>5347.7943996931335</v>
      </c>
    </row>
    <row r="14" spans="2:8">
      <c r="B14" s="7" t="s">
        <v>6</v>
      </c>
      <c r="C14" s="24">
        <f>+G18/2</f>
        <v>2547.672132719601</v>
      </c>
      <c r="D14" s="17">
        <f>+G18/2</f>
        <v>2547.672132719601</v>
      </c>
      <c r="E14" s="24">
        <v>0</v>
      </c>
      <c r="F14" s="17">
        <v>0</v>
      </c>
      <c r="G14" s="24">
        <v>0</v>
      </c>
      <c r="H14" s="18">
        <f>+SUM(C14:G14)</f>
        <v>5095.344265439202</v>
      </c>
    </row>
    <row r="15" spans="2:8">
      <c r="B15" s="7"/>
      <c r="C15" s="24"/>
      <c r="D15" s="17"/>
      <c r="E15" s="24"/>
      <c r="F15" s="17"/>
      <c r="G15" s="24"/>
      <c r="H15" s="18"/>
    </row>
    <row r="16" spans="2:8">
      <c r="B16" s="31" t="s">
        <v>12</v>
      </c>
      <c r="C16" s="32">
        <f>+SUM(C12:C14)</f>
        <v>6831.1013617184499</v>
      </c>
      <c r="D16" s="33">
        <f t="shared" ref="D16:H16" si="0">+SUM(D12:D14)</f>
        <v>7643.8986382815492</v>
      </c>
      <c r="E16" s="32">
        <f t="shared" si="0"/>
        <v>2067.9420790180284</v>
      </c>
      <c r="F16" s="33">
        <f t="shared" si="0"/>
        <v>2997.7943996931335</v>
      </c>
      <c r="G16" s="32">
        <f t="shared" si="0"/>
        <v>495.3442654392021</v>
      </c>
      <c r="H16" s="34">
        <f t="shared" si="0"/>
        <v>20036.080744150364</v>
      </c>
    </row>
    <row r="17" spans="2:8">
      <c r="B17" s="7"/>
      <c r="C17" s="24"/>
      <c r="D17" s="17"/>
      <c r="E17" s="24"/>
      <c r="F17" s="17"/>
      <c r="G17" s="24"/>
      <c r="H17" s="18"/>
    </row>
    <row r="18" spans="2:8">
      <c r="B18" s="31" t="s">
        <v>13</v>
      </c>
      <c r="C18" s="32">
        <f>+C16+C9</f>
        <v>11231.101361718451</v>
      </c>
      <c r="D18" s="33">
        <f t="shared" ref="D18:H18" si="1">+D16+D9</f>
        <v>16703.898638281549</v>
      </c>
      <c r="E18" s="32">
        <f t="shared" si="1"/>
        <v>9592.9420790180284</v>
      </c>
      <c r="F18" s="33">
        <f t="shared" si="1"/>
        <v>5347.7943996931335</v>
      </c>
      <c r="G18" s="32">
        <f t="shared" si="1"/>
        <v>5095.344265439202</v>
      </c>
      <c r="H18" s="34">
        <f t="shared" si="1"/>
        <v>47971.080744150364</v>
      </c>
    </row>
    <row r="19" spans="2:8">
      <c r="B19" s="7"/>
      <c r="C19" s="24"/>
      <c r="D19" s="17"/>
      <c r="E19" s="24"/>
      <c r="F19" s="17"/>
      <c r="G19" s="24"/>
      <c r="H19" s="18"/>
    </row>
    <row r="20" spans="2:8">
      <c r="B20" s="19" t="s">
        <v>14</v>
      </c>
      <c r="C20" s="25">
        <f>+C18/C7</f>
        <v>1.4038876702148064</v>
      </c>
      <c r="D20" s="20">
        <f t="shared" ref="D20:F20" si="2">+D18/D7</f>
        <v>31.516789883550093</v>
      </c>
      <c r="E20" s="25">
        <f t="shared" si="2"/>
        <v>39.97059199590845</v>
      </c>
      <c r="F20" s="20">
        <f t="shared" si="2"/>
        <v>9.618335251246643E-2</v>
      </c>
      <c r="G20" s="26"/>
      <c r="H20" s="22"/>
    </row>
    <row r="24" spans="2:8">
      <c r="B24" t="s">
        <v>15</v>
      </c>
    </row>
    <row r="26" spans="2:8">
      <c r="B26" s="3" t="s">
        <v>18</v>
      </c>
      <c r="C26" s="4" t="s">
        <v>16</v>
      </c>
      <c r="D26" s="4"/>
      <c r="E26" s="5" t="s">
        <v>20</v>
      </c>
      <c r="F26" s="6">
        <f>+(7525/240+21500/240*2350/55600)/(1-(21500/240*75/55600))</f>
        <v>39.97059199590845</v>
      </c>
    </row>
    <row r="27" spans="2:8">
      <c r="B27" s="7"/>
      <c r="C27" s="8"/>
      <c r="D27" s="8"/>
      <c r="E27" s="9"/>
      <c r="F27" s="10"/>
    </row>
    <row r="28" spans="2:8">
      <c r="B28" s="11" t="s">
        <v>19</v>
      </c>
      <c r="C28" s="12" t="s">
        <v>17</v>
      </c>
      <c r="D28" s="12"/>
      <c r="E28" s="13" t="s">
        <v>21</v>
      </c>
      <c r="F28" s="14">
        <f>+(2350+75*F26)/55600</f>
        <v>9.618335251246643E-2</v>
      </c>
    </row>
    <row r="31" spans="2:8">
      <c r="B31" s="2" t="s">
        <v>22</v>
      </c>
    </row>
    <row r="34" spans="2:3">
      <c r="B34" s="23" t="s">
        <v>23</v>
      </c>
      <c r="C34" s="16"/>
    </row>
    <row r="35" spans="2:3">
      <c r="B35" s="39" t="s">
        <v>24</v>
      </c>
      <c r="C35" s="18">
        <f>340*450+10*440</f>
        <v>157400</v>
      </c>
    </row>
    <row r="36" spans="2:3">
      <c r="B36" s="39" t="s">
        <v>25</v>
      </c>
      <c r="C36" s="18">
        <f>0.05*1000*350</f>
        <v>17500</v>
      </c>
    </row>
    <row r="37" spans="2:3">
      <c r="B37" s="39"/>
      <c r="C37" s="18"/>
    </row>
    <row r="38" spans="2:3">
      <c r="B38" s="40" t="s">
        <v>26</v>
      </c>
      <c r="C38" s="34">
        <f>+C35+C36</f>
        <v>174900</v>
      </c>
    </row>
    <row r="39" spans="2:3">
      <c r="B39" s="39"/>
      <c r="C39" s="18"/>
    </row>
    <row r="40" spans="2:3">
      <c r="B40" s="39" t="s">
        <v>27</v>
      </c>
      <c r="C40" s="18"/>
    </row>
    <row r="41" spans="2:3">
      <c r="B41" s="39" t="s">
        <v>2</v>
      </c>
      <c r="C41" s="18">
        <f>+C18</f>
        <v>11231.101361718451</v>
      </c>
    </row>
    <row r="42" spans="2:3">
      <c r="B42" s="39" t="s">
        <v>28</v>
      </c>
      <c r="C42" s="18">
        <f>+D18</f>
        <v>16703.898638281549</v>
      </c>
    </row>
    <row r="43" spans="2:3">
      <c r="B43" s="39"/>
      <c r="C43" s="18"/>
    </row>
    <row r="44" spans="2:3">
      <c r="B44" s="40" t="s">
        <v>12</v>
      </c>
      <c r="C44" s="34">
        <f>+C41+C42</f>
        <v>27935</v>
      </c>
    </row>
    <row r="45" spans="2:3">
      <c r="B45" s="39"/>
      <c r="C45" s="18"/>
    </row>
    <row r="46" spans="2:3">
      <c r="B46" s="40" t="s">
        <v>29</v>
      </c>
      <c r="C46" s="34">
        <f>+C44+C38</f>
        <v>202835</v>
      </c>
    </row>
    <row r="47" spans="2:3">
      <c r="B47" s="39"/>
      <c r="C47" s="18"/>
    </row>
    <row r="48" spans="2:3">
      <c r="B48" s="40" t="s">
        <v>30</v>
      </c>
      <c r="C48" s="38">
        <f>+C46/350</f>
        <v>579.52857142857147</v>
      </c>
    </row>
    <row r="51" spans="2:6">
      <c r="B51" s="2" t="s">
        <v>31</v>
      </c>
      <c r="E51" s="46" t="s">
        <v>109</v>
      </c>
      <c r="F51" s="46"/>
    </row>
    <row r="54" spans="2:6">
      <c r="B54" s="23" t="s">
        <v>32</v>
      </c>
      <c r="C54" s="37">
        <f>350*800</f>
        <v>280000</v>
      </c>
      <c r="E54" s="23" t="s">
        <v>32</v>
      </c>
      <c r="F54" s="60">
        <f>+C54</f>
        <v>280000</v>
      </c>
    </row>
    <row r="55" spans="2:6">
      <c r="B55" s="39"/>
      <c r="C55" s="18"/>
      <c r="E55" s="39"/>
      <c r="F55" s="39"/>
    </row>
    <row r="56" spans="2:6">
      <c r="B56" s="39" t="s">
        <v>33</v>
      </c>
      <c r="C56" s="18">
        <f>350*C48</f>
        <v>202835</v>
      </c>
      <c r="E56" s="39" t="s">
        <v>33</v>
      </c>
      <c r="F56" s="24">
        <f>350*600</f>
        <v>210000</v>
      </c>
    </row>
    <row r="57" spans="2:6">
      <c r="B57" s="39"/>
      <c r="C57" s="18"/>
      <c r="E57" s="39"/>
      <c r="F57" s="39"/>
    </row>
    <row r="58" spans="2:6">
      <c r="B58" s="40" t="s">
        <v>34</v>
      </c>
      <c r="C58" s="34">
        <f>+C54-C56</f>
        <v>77165</v>
      </c>
      <c r="E58" s="40" t="s">
        <v>34</v>
      </c>
      <c r="F58" s="62">
        <f>+F54-F56</f>
        <v>70000</v>
      </c>
    </row>
    <row r="59" spans="2:6">
      <c r="B59" s="39"/>
      <c r="C59" s="18"/>
      <c r="E59" s="39"/>
      <c r="F59" s="39"/>
    </row>
    <row r="60" spans="2:6">
      <c r="B60" s="39" t="s">
        <v>35</v>
      </c>
      <c r="C60" s="18"/>
      <c r="E60" s="39" t="s">
        <v>35</v>
      </c>
      <c r="F60" s="39"/>
    </row>
    <row r="61" spans="2:6">
      <c r="B61" s="39" t="s">
        <v>36</v>
      </c>
      <c r="C61" s="18">
        <v>1875</v>
      </c>
      <c r="E61" s="39" t="s">
        <v>36</v>
      </c>
      <c r="F61" s="61">
        <f>+C61</f>
        <v>1875</v>
      </c>
    </row>
    <row r="62" spans="2:6">
      <c r="B62" s="39" t="s">
        <v>37</v>
      </c>
      <c r="C62" s="18">
        <f>0.4/100*C54</f>
        <v>1120</v>
      </c>
      <c r="E62" s="39" t="s">
        <v>37</v>
      </c>
      <c r="F62" s="61">
        <f>+C62</f>
        <v>1120</v>
      </c>
    </row>
    <row r="63" spans="2:6">
      <c r="B63" s="39"/>
      <c r="C63" s="18"/>
      <c r="E63" s="39"/>
      <c r="F63" s="39"/>
    </row>
    <row r="64" spans="2:6">
      <c r="B64" s="39" t="s">
        <v>38</v>
      </c>
      <c r="C64" s="18">
        <v>6200</v>
      </c>
      <c r="E64" s="39" t="s">
        <v>38</v>
      </c>
      <c r="F64" s="61">
        <f>+C64</f>
        <v>6200</v>
      </c>
    </row>
    <row r="65" spans="2:6">
      <c r="B65" s="39"/>
      <c r="C65" s="18"/>
      <c r="E65" s="39"/>
      <c r="F65" s="39"/>
    </row>
    <row r="66" spans="2:6">
      <c r="B66" s="40" t="s">
        <v>40</v>
      </c>
      <c r="C66" s="34">
        <f>+C58-C61-C62-C64</f>
        <v>67970</v>
      </c>
      <c r="E66" s="40" t="s">
        <v>40</v>
      </c>
      <c r="F66" s="62">
        <f>+F58-F61-F62-F64</f>
        <v>60805</v>
      </c>
    </row>
    <row r="67" spans="2:6">
      <c r="B67" s="39"/>
      <c r="C67" s="18"/>
      <c r="E67" s="39"/>
      <c r="F67" s="39"/>
    </row>
    <row r="68" spans="2:6">
      <c r="B68" s="39" t="s">
        <v>39</v>
      </c>
      <c r="C68" s="18">
        <v>1320</v>
      </c>
      <c r="E68" s="39" t="s">
        <v>39</v>
      </c>
      <c r="F68" s="61">
        <f>+C68</f>
        <v>1320</v>
      </c>
    </row>
    <row r="69" spans="2:6">
      <c r="B69" s="39"/>
      <c r="C69" s="18"/>
      <c r="E69" s="39"/>
      <c r="F69" s="39"/>
    </row>
    <row r="70" spans="2:6">
      <c r="B70" s="40" t="s">
        <v>41</v>
      </c>
      <c r="C70" s="34">
        <f>+C66-C68</f>
        <v>66650</v>
      </c>
      <c r="E70" s="40" t="s">
        <v>41</v>
      </c>
      <c r="F70" s="62">
        <f>+F66-F68</f>
        <v>59485</v>
      </c>
    </row>
    <row r="73" spans="2:6">
      <c r="B73" t="s">
        <v>57</v>
      </c>
    </row>
    <row r="75" spans="2:6">
      <c r="B75" t="s">
        <v>42</v>
      </c>
    </row>
    <row r="77" spans="2:6">
      <c r="B77" t="s">
        <v>54</v>
      </c>
    </row>
    <row r="78" spans="2:6">
      <c r="B78" t="s">
        <v>55</v>
      </c>
    </row>
    <row r="79" spans="2:6">
      <c r="B79" t="s">
        <v>56</v>
      </c>
    </row>
    <row r="80" spans="2:6">
      <c r="B80" t="s">
        <v>51</v>
      </c>
    </row>
    <row r="82" spans="2:8">
      <c r="B82" t="s">
        <v>43</v>
      </c>
      <c r="C82" s="41">
        <f>+C46-20%*(400+1000+2500+1050+4600)</f>
        <v>200925</v>
      </c>
      <c r="D82" s="1" t="s">
        <v>44</v>
      </c>
      <c r="E82" t="s">
        <v>45</v>
      </c>
      <c r="F82">
        <f>+C82/350</f>
        <v>574.07142857142856</v>
      </c>
      <c r="G82" t="s">
        <v>110</v>
      </c>
    </row>
    <row r="84" spans="2:8">
      <c r="B84" t="s">
        <v>46</v>
      </c>
    </row>
    <row r="86" spans="2:8">
      <c r="B86" t="s">
        <v>47</v>
      </c>
      <c r="H86" s="42">
        <f>+C70</f>
        <v>66650</v>
      </c>
    </row>
    <row r="88" spans="2:8">
      <c r="B88" t="s">
        <v>48</v>
      </c>
      <c r="C88" s="42">
        <f>+C82</f>
        <v>200925</v>
      </c>
    </row>
    <row r="89" spans="2:8">
      <c r="B89" t="s">
        <v>49</v>
      </c>
      <c r="C89" s="43">
        <f>0.2*(400+1000+2500+1050+4600)</f>
        <v>1910</v>
      </c>
      <c r="D89" t="s">
        <v>52</v>
      </c>
    </row>
    <row r="90" spans="2:8">
      <c r="B90" t="s">
        <v>50</v>
      </c>
      <c r="C90" s="42">
        <f>+C88+C89</f>
        <v>202835</v>
      </c>
    </row>
    <row r="92" spans="2:8">
      <c r="B92" t="s">
        <v>53</v>
      </c>
    </row>
    <row r="94" spans="2:8">
      <c r="B94" t="s">
        <v>111</v>
      </c>
    </row>
    <row r="96" spans="2:8">
      <c r="B96" t="s">
        <v>102</v>
      </c>
    </row>
    <row r="98" spans="2:3">
      <c r="B98" t="s">
        <v>103</v>
      </c>
      <c r="C98" s="46">
        <f>+C100/(800-C108)</f>
        <v>77.466557626029569</v>
      </c>
    </row>
    <row r="100" spans="2:3">
      <c r="B100" t="s">
        <v>104</v>
      </c>
      <c r="C100" s="46">
        <f>+C101+C102</f>
        <v>18945</v>
      </c>
    </row>
    <row r="101" spans="2:3">
      <c r="B101" t="s">
        <v>105</v>
      </c>
      <c r="C101" s="46">
        <f>400+1000+2500+1050+4600</f>
        <v>9550</v>
      </c>
    </row>
    <row r="102" spans="2:3">
      <c r="B102" t="s">
        <v>106</v>
      </c>
      <c r="C102" s="57">
        <f>+C61+C64+C68</f>
        <v>9395</v>
      </c>
    </row>
    <row r="104" spans="2:3">
      <c r="B104" t="s">
        <v>107</v>
      </c>
      <c r="C104" s="46">
        <f>+C105+C106</f>
        <v>194405</v>
      </c>
    </row>
    <row r="105" spans="2:3">
      <c r="B105" t="s">
        <v>105</v>
      </c>
      <c r="C105" s="59">
        <f>4000+8060+5025+1300+C38</f>
        <v>193285</v>
      </c>
    </row>
    <row r="106" spans="2:3">
      <c r="B106" t="s">
        <v>106</v>
      </c>
      <c r="C106" s="59">
        <f>+C62</f>
        <v>1120</v>
      </c>
    </row>
    <row r="108" spans="2:3">
      <c r="B108" t="s">
        <v>108</v>
      </c>
      <c r="C108" s="46">
        <f>+C104/350</f>
        <v>555.44285714285718</v>
      </c>
    </row>
    <row r="110" spans="2:3">
      <c r="B110" t="s">
        <v>112</v>
      </c>
      <c r="C110" s="46">
        <f>+C98*800</f>
        <v>61973.246100823657</v>
      </c>
    </row>
  </sheetData>
  <mergeCells count="1">
    <mergeCell ref="B2:H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showGridLines="0" workbookViewId="0">
      <selection activeCell="B2" sqref="B2:J2"/>
    </sheetView>
  </sheetViews>
  <sheetFormatPr baseColWidth="10" defaultRowHeight="15" x14ac:dyDescent="0"/>
  <cols>
    <col min="1" max="1" width="4" customWidth="1"/>
    <col min="3" max="3" width="19.5" customWidth="1"/>
    <col min="4" max="4" width="11.5" bestFit="1" customWidth="1"/>
    <col min="5" max="5" width="12.5" customWidth="1"/>
  </cols>
  <sheetData>
    <row r="2" spans="2:10" ht="33">
      <c r="B2" s="64" t="s">
        <v>58</v>
      </c>
      <c r="C2" s="64"/>
      <c r="D2" s="64"/>
      <c r="E2" s="64"/>
      <c r="F2" s="64"/>
      <c r="G2" s="64"/>
      <c r="H2" s="64"/>
      <c r="I2" s="64"/>
      <c r="J2" s="64"/>
    </row>
    <row r="3" spans="2:10" ht="17" customHeight="1">
      <c r="B3" s="44"/>
      <c r="C3" s="44"/>
      <c r="D3" s="44"/>
      <c r="E3" s="44"/>
      <c r="F3" s="44"/>
      <c r="G3" s="44"/>
      <c r="H3" s="44"/>
      <c r="I3" s="44"/>
      <c r="J3" s="44"/>
    </row>
    <row r="4" spans="2:10">
      <c r="B4" s="2" t="s">
        <v>59</v>
      </c>
    </row>
    <row r="5" spans="2:10">
      <c r="B5" s="2"/>
    </row>
    <row r="6" spans="2:10">
      <c r="B6" s="15"/>
      <c r="C6" s="16"/>
      <c r="D6" s="48">
        <f>+D28</f>
        <v>2000</v>
      </c>
      <c r="E6" s="35">
        <v>2200</v>
      </c>
    </row>
    <row r="7" spans="2:10">
      <c r="B7" s="19"/>
      <c r="C7" s="51"/>
      <c r="D7" s="55" t="s">
        <v>69</v>
      </c>
      <c r="E7" s="56" t="s">
        <v>70</v>
      </c>
    </row>
    <row r="8" spans="2:10">
      <c r="B8" s="7" t="s">
        <v>60</v>
      </c>
      <c r="C8" s="49"/>
      <c r="D8" s="50">
        <f>200*D6</f>
        <v>400000</v>
      </c>
      <c r="E8" s="24">
        <f>200*E6</f>
        <v>440000</v>
      </c>
    </row>
    <row r="9" spans="2:10">
      <c r="B9" s="7"/>
      <c r="C9" s="49"/>
      <c r="D9" s="8"/>
      <c r="E9" s="24"/>
    </row>
    <row r="10" spans="2:10">
      <c r="B10" s="7" t="s">
        <v>61</v>
      </c>
      <c r="C10" s="49"/>
      <c r="D10" s="8"/>
      <c r="E10" s="24"/>
    </row>
    <row r="11" spans="2:10">
      <c r="B11" s="7"/>
      <c r="C11" s="49"/>
      <c r="D11" s="8"/>
      <c r="E11" s="24"/>
    </row>
    <row r="12" spans="2:10">
      <c r="B12" s="7" t="s">
        <v>62</v>
      </c>
      <c r="C12" s="49"/>
      <c r="D12" s="8"/>
      <c r="E12" s="24"/>
    </row>
    <row r="13" spans="2:10">
      <c r="B13" s="7" t="s">
        <v>63</v>
      </c>
      <c r="C13" s="49"/>
      <c r="D13" s="50">
        <f>20*D6</f>
        <v>40000</v>
      </c>
      <c r="E13" s="24">
        <f>20*E6</f>
        <v>44000</v>
      </c>
    </row>
    <row r="14" spans="2:10">
      <c r="B14" s="7" t="s">
        <v>64</v>
      </c>
      <c r="C14" s="49"/>
      <c r="D14" s="50">
        <f>30*D6</f>
        <v>60000</v>
      </c>
      <c r="E14" s="24">
        <f>30*E6</f>
        <v>66000</v>
      </c>
    </row>
    <row r="15" spans="2:10">
      <c r="B15" s="7" t="s">
        <v>65</v>
      </c>
      <c r="C15" s="49"/>
      <c r="D15" s="50">
        <f>40*D6</f>
        <v>80000</v>
      </c>
      <c r="E15" s="24">
        <f>40*E6</f>
        <v>88000</v>
      </c>
    </row>
    <row r="16" spans="2:10">
      <c r="B16" s="7" t="s">
        <v>66</v>
      </c>
      <c r="C16" s="49"/>
      <c r="D16" s="50">
        <f>40*D6</f>
        <v>80000</v>
      </c>
      <c r="E16" s="24">
        <f>40*E6</f>
        <v>88000</v>
      </c>
    </row>
    <row r="17" spans="2:8">
      <c r="B17" s="7" t="s">
        <v>67</v>
      </c>
      <c r="C17" s="49"/>
      <c r="D17" s="50">
        <f>9*D6</f>
        <v>18000</v>
      </c>
      <c r="E17" s="24">
        <f>9*E6</f>
        <v>19800</v>
      </c>
    </row>
    <row r="18" spans="2:8">
      <c r="B18" s="7"/>
      <c r="C18" s="49"/>
      <c r="D18" s="8"/>
      <c r="E18" s="24"/>
    </row>
    <row r="19" spans="2:8">
      <c r="B19" s="31" t="s">
        <v>68</v>
      </c>
      <c r="C19" s="52"/>
      <c r="D19" s="33">
        <f>+D8-SUM(D13:D17)</f>
        <v>122000</v>
      </c>
      <c r="E19" s="32">
        <f>+E8-SUM(E13:E17)</f>
        <v>134200</v>
      </c>
    </row>
    <row r="21" spans="2:8">
      <c r="B21" t="s">
        <v>71</v>
      </c>
      <c r="D21" s="45">
        <v>12200</v>
      </c>
    </row>
    <row r="23" spans="2:8">
      <c r="B23" t="s">
        <v>72</v>
      </c>
    </row>
    <row r="25" spans="2:8">
      <c r="B25" t="s">
        <v>73</v>
      </c>
      <c r="D25" s="45">
        <v>2200</v>
      </c>
    </row>
    <row r="26" spans="2:8">
      <c r="B26" t="s">
        <v>74</v>
      </c>
      <c r="H26" s="47">
        <f>200-139</f>
        <v>61</v>
      </c>
    </row>
    <row r="28" spans="2:8">
      <c r="B28" t="s">
        <v>75</v>
      </c>
      <c r="D28" s="45">
        <f>+D25-D21/H26</f>
        <v>2000</v>
      </c>
    </row>
    <row r="31" spans="2:8">
      <c r="B31" s="2" t="s">
        <v>76</v>
      </c>
    </row>
    <row r="33" spans="2:7">
      <c r="B33" s="53" t="s">
        <v>77</v>
      </c>
      <c r="C33" s="54" t="s">
        <v>83</v>
      </c>
      <c r="D33" s="57">
        <v>0</v>
      </c>
    </row>
    <row r="34" spans="2:7">
      <c r="B34" s="53" t="s">
        <v>78</v>
      </c>
      <c r="C34" t="s">
        <v>96</v>
      </c>
      <c r="D34" s="46">
        <f>+F41+F42+G43</f>
        <v>-8500</v>
      </c>
    </row>
    <row r="35" spans="2:7">
      <c r="B35" s="53" t="s">
        <v>79</v>
      </c>
      <c r="C35" s="54" t="s">
        <v>97</v>
      </c>
      <c r="E35" s="46">
        <f>+(4.5*E6-9800)*8.88888888</f>
        <v>888.88888799999995</v>
      </c>
    </row>
    <row r="36" spans="2:7">
      <c r="B36" s="53" t="s">
        <v>80</v>
      </c>
      <c r="C36" s="54" t="s">
        <v>98</v>
      </c>
      <c r="E36" s="46">
        <f>+(4.5*E6-9800)*2</f>
        <v>200</v>
      </c>
    </row>
    <row r="37" spans="2:7">
      <c r="B37" s="53" t="s">
        <v>81</v>
      </c>
      <c r="C37" s="54" t="s">
        <v>99</v>
      </c>
      <c r="E37" s="46">
        <f>+(2-18800/9800)*9800</f>
        <v>800.00000000000091</v>
      </c>
    </row>
    <row r="38" spans="2:7">
      <c r="B38" s="58" t="s">
        <v>82</v>
      </c>
      <c r="C38" s="54" t="s">
        <v>100</v>
      </c>
      <c r="E38" s="46">
        <f>2200*200-44000-75200-101200-93460-18800</f>
        <v>107340</v>
      </c>
    </row>
    <row r="40" spans="2:7">
      <c r="B40" s="46" t="s">
        <v>84</v>
      </c>
    </row>
    <row r="41" spans="2:7">
      <c r="B41" s="46" t="s">
        <v>85</v>
      </c>
      <c r="D41" s="54" t="s">
        <v>89</v>
      </c>
      <c r="F41" s="46">
        <f>+(1*E6-2200)*20</f>
        <v>0</v>
      </c>
    </row>
    <row r="42" spans="2:7">
      <c r="B42" t="s">
        <v>86</v>
      </c>
      <c r="D42" s="54" t="s">
        <v>90</v>
      </c>
      <c r="F42" s="46">
        <f>+(2*E6-4700)*15</f>
        <v>-4500</v>
      </c>
    </row>
    <row r="43" spans="2:7">
      <c r="B43" t="s">
        <v>87</v>
      </c>
      <c r="D43" s="54" t="s">
        <v>91</v>
      </c>
      <c r="G43" s="46">
        <f>+(4*E6-G49)*10</f>
        <v>-4000</v>
      </c>
    </row>
    <row r="45" spans="2:7">
      <c r="B45" t="s">
        <v>88</v>
      </c>
      <c r="D45" s="46">
        <v>-13900</v>
      </c>
    </row>
    <row r="46" spans="2:7">
      <c r="B46" s="46" t="s">
        <v>85</v>
      </c>
      <c r="D46" s="54" t="s">
        <v>93</v>
      </c>
      <c r="F46" s="46">
        <f>+(20-44000/2200)*2200</f>
        <v>0</v>
      </c>
    </row>
    <row r="47" spans="2:7">
      <c r="B47" t="s">
        <v>86</v>
      </c>
      <c r="D47" s="54" t="s">
        <v>92</v>
      </c>
      <c r="F47" s="46">
        <f>+(15-75200/4700)*4700</f>
        <v>-4700</v>
      </c>
    </row>
    <row r="48" spans="2:7">
      <c r="B48" t="s">
        <v>87</v>
      </c>
      <c r="D48" t="s">
        <v>94</v>
      </c>
      <c r="G48" s="46">
        <f>+D45-F46-F47</f>
        <v>-9200</v>
      </c>
    </row>
    <row r="49" spans="2:7">
      <c r="E49" t="s">
        <v>95</v>
      </c>
      <c r="G49" s="46">
        <f>(101200-9200)/10</f>
        <v>9200</v>
      </c>
    </row>
    <row r="51" spans="2:7">
      <c r="B51" t="s">
        <v>101</v>
      </c>
    </row>
  </sheetData>
  <mergeCells count="1">
    <mergeCell ref="B2:J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Fresh Fruits</vt:lpstr>
      <vt:lpstr>FunTime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Major</dc:creator>
  <cp:lastModifiedBy>Maria Major</cp:lastModifiedBy>
  <dcterms:created xsi:type="dcterms:W3CDTF">2017-12-22T11:43:13Z</dcterms:created>
  <dcterms:modified xsi:type="dcterms:W3CDTF">2018-01-04T20:28:52Z</dcterms:modified>
</cp:coreProperties>
</file>