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tilizador\Desktop\"/>
    </mc:Choice>
  </mc:AlternateContent>
  <xr:revisionPtr revIDLastSave="0" documentId="8_{6CF62D94-4BAF-48FE-BDF7-7CF1940513EE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PART I" sheetId="1" r:id="rId1"/>
    <sheet name="PART II" sheetId="6" r:id="rId2"/>
    <sheet name="PART III" sheetId="7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1" i="6" l="1"/>
  <c r="H27" i="6"/>
  <c r="H28" i="6"/>
  <c r="F33" i="6"/>
  <c r="I22" i="6"/>
  <c r="G37" i="6"/>
  <c r="D22" i="6"/>
  <c r="D23" i="6"/>
  <c r="D24" i="6"/>
  <c r="D25" i="6"/>
  <c r="D26" i="6"/>
  <c r="G44" i="6"/>
  <c r="G47" i="6"/>
  <c r="G48" i="6"/>
  <c r="G49" i="6"/>
  <c r="G50" i="6"/>
  <c r="G52" i="6"/>
  <c r="D44" i="6"/>
  <c r="D46" i="6"/>
  <c r="D48" i="6"/>
  <c r="D11" i="6"/>
  <c r="D16" i="6"/>
  <c r="D13" i="6"/>
  <c r="D50" i="6"/>
  <c r="D52" i="6"/>
  <c r="I52" i="6"/>
  <c r="M22" i="1"/>
  <c r="K16" i="1"/>
  <c r="K18" i="1"/>
  <c r="K20" i="1"/>
  <c r="G18" i="1"/>
  <c r="E44" i="1"/>
  <c r="C38" i="1"/>
  <c r="E59" i="1"/>
  <c r="E70" i="1"/>
  <c r="E72" i="1"/>
  <c r="E74" i="1"/>
  <c r="F77" i="1"/>
  <c r="D79" i="1"/>
  <c r="D59" i="1"/>
  <c r="D70" i="1"/>
  <c r="D72" i="1"/>
  <c r="D74" i="1"/>
  <c r="E56" i="1"/>
  <c r="E61" i="1"/>
  <c r="E63" i="1"/>
  <c r="D56" i="1"/>
  <c r="D61" i="1"/>
  <c r="D63" i="1"/>
  <c r="C40" i="1"/>
  <c r="C42" i="1"/>
  <c r="E46" i="1"/>
  <c r="C31" i="1"/>
  <c r="C20" i="1"/>
  <c r="C16" i="1"/>
  <c r="C18" i="1"/>
  <c r="C7" i="1"/>
  <c r="C6" i="1"/>
  <c r="G4" i="7"/>
</calcChain>
</file>

<file path=xl/sharedStrings.xml><?xml version="1.0" encoding="utf-8"?>
<sst xmlns="http://schemas.openxmlformats.org/spreadsheetml/2006/main" count="134" uniqueCount="112">
  <si>
    <t>-40000€  Adverse</t>
  </si>
  <si>
    <t>SPMV</t>
  </si>
  <si>
    <t>Actual Profit</t>
  </si>
  <si>
    <t>?</t>
  </si>
  <si>
    <t>CC Var</t>
  </si>
  <si>
    <t>DM Var</t>
  </si>
  <si>
    <t>SMVV</t>
  </si>
  <si>
    <t>Expected Profit</t>
  </si>
  <si>
    <t>There were a number of power cuts that were much lower than usual</t>
  </si>
  <si>
    <t>Unplanned purchase of new, more efficient machines</t>
  </si>
  <si>
    <t>Actual Quantities = 5,200 MH</t>
  </si>
  <si>
    <t>8000 =10€*( 4500/300*400 - Actual Quantities)</t>
  </si>
  <si>
    <t>CC Variance = 8,000€ Favourable</t>
  </si>
  <si>
    <t>34,000€ Adverse</t>
  </si>
  <si>
    <t xml:space="preserve">150,000€/300*400-234,000 = </t>
  </si>
  <si>
    <t xml:space="preserve">DM Variance = </t>
  </si>
  <si>
    <t>25,000€ Adverse</t>
  </si>
  <si>
    <t xml:space="preserve">250€*(600/300*400-900) = </t>
  </si>
  <si>
    <t xml:space="preserve">DM Usage = </t>
  </si>
  <si>
    <t>900 Tonnes</t>
  </si>
  <si>
    <t xml:space="preserve">234,000€/260€ = </t>
  </si>
  <si>
    <t xml:space="preserve">Actual Quantities DM = </t>
  </si>
  <si>
    <t>350€*(400 Ton. -300 Ton. ) = 35,000€ Favourable</t>
  </si>
  <si>
    <t xml:space="preserve">SMVV = </t>
  </si>
  <si>
    <t>105,000€/300 Tonnes = 350€</t>
  </si>
  <si>
    <t>Unit Expected Contribution</t>
  </si>
  <si>
    <t>PART III</t>
  </si>
  <si>
    <t>1.</t>
  </si>
  <si>
    <t>2.</t>
  </si>
  <si>
    <t>3.</t>
  </si>
  <si>
    <t>4.</t>
  </si>
  <si>
    <t>5.</t>
  </si>
  <si>
    <t>The variance with more negative impact in profit was the SPMV, because the actual price was lower than the budgeted SP.</t>
  </si>
  <si>
    <t>PART II</t>
  </si>
  <si>
    <t>ASSETS</t>
  </si>
  <si>
    <t>EQUITY + LIABILITIES</t>
  </si>
  <si>
    <t>Equipment</t>
  </si>
  <si>
    <t>Clients</t>
  </si>
  <si>
    <t>Cash</t>
  </si>
  <si>
    <t>EQUITY</t>
  </si>
  <si>
    <t>LIABILITIES</t>
  </si>
  <si>
    <t>Suppliers</t>
  </si>
  <si>
    <t>Government (VAT)</t>
  </si>
  <si>
    <t>Interests to be paid</t>
  </si>
  <si>
    <t>TOTAL ASSETS</t>
  </si>
  <si>
    <t>1. Sales volume</t>
  </si>
  <si>
    <t>April 2018</t>
  </si>
  <si>
    <t>April 2019</t>
  </si>
  <si>
    <t>2. Cost accumulation system</t>
  </si>
  <si>
    <t>If adopted TFC</t>
  </si>
  <si>
    <t>COGM =</t>
  </si>
  <si>
    <t>COGMu =</t>
  </si>
  <si>
    <t>COGS =</t>
  </si>
  <si>
    <t>Under-recovery of overheads =</t>
  </si>
  <si>
    <t>If adopted VC</t>
  </si>
  <si>
    <t>If adopted FCPC</t>
  </si>
  <si>
    <t>COGS + under-recovery of overheads =</t>
  </si>
  <si>
    <t>3. BEP**</t>
  </si>
  <si>
    <t>BEP** = FC / contribution margin ratio</t>
  </si>
  <si>
    <t>Contribution margin ratio = (SP - Vcu) / SP</t>
  </si>
  <si>
    <t>Fixed costs</t>
  </si>
  <si>
    <t>SP</t>
  </si>
  <si>
    <t>VCu</t>
  </si>
  <si>
    <t>Contribution margin ratio</t>
  </si>
  <si>
    <t>BEP**</t>
  </si>
  <si>
    <t>TFC</t>
  </si>
  <si>
    <t>FCPC</t>
  </si>
  <si>
    <t>Contribution margin</t>
  </si>
  <si>
    <t>Profit before taxes</t>
  </si>
  <si>
    <t>Operating leverage</t>
  </si>
  <si>
    <t>%</t>
  </si>
  <si>
    <t xml:space="preserve">   Impact on PBT if sales volume descreases by 15% =</t>
  </si>
  <si>
    <t xml:space="preserve">                  Hence, PBT =</t>
  </si>
  <si>
    <t>(if sales volume decreases 15%, then PBT decreases 81%)</t>
  </si>
  <si>
    <t>4. Operating leverage in April 2019</t>
  </si>
  <si>
    <t>if adopted VC</t>
  </si>
  <si>
    <t>if adopted FCPC</t>
  </si>
  <si>
    <t>Over-recovery of overheads =</t>
  </si>
  <si>
    <t>1. Financial Budget for Year N+1</t>
  </si>
  <si>
    <t>5. Variable costing should be adopted to support decision-making in short-term. (...)</t>
  </si>
  <si>
    <t>1. Sources of Funds</t>
  </si>
  <si>
    <t>Opening cash</t>
  </si>
  <si>
    <t>Positive cash</t>
  </si>
  <si>
    <t>Bank loan</t>
  </si>
  <si>
    <t>2. Uses of Funds</t>
  </si>
  <si>
    <t>Closing cash</t>
  </si>
  <si>
    <t>Production line</t>
  </si>
  <si>
    <t>Total 2.</t>
  </si>
  <si>
    <t>Total 1.</t>
  </si>
  <si>
    <t>2. P&amp;L</t>
  </si>
  <si>
    <t>DM</t>
  </si>
  <si>
    <t>Opening stocks</t>
  </si>
  <si>
    <t>Purchases</t>
  </si>
  <si>
    <t>Consumption</t>
  </si>
  <si>
    <t>Closing stocks</t>
  </si>
  <si>
    <t>Conversion Costs</t>
  </si>
  <si>
    <t>COGM = DM + Conversion Costs =</t>
  </si>
  <si>
    <t>COGS = COGM + Opening Stocks FG - Closing Stocks FG</t>
  </si>
  <si>
    <t>COGS</t>
  </si>
  <si>
    <t>Gross Profit</t>
  </si>
  <si>
    <t>Sales Revenues</t>
  </si>
  <si>
    <t>Non-manufact. Costs</t>
  </si>
  <si>
    <t>Financial Costs</t>
  </si>
  <si>
    <t>PBT</t>
  </si>
  <si>
    <t>3. Balance Sheet on December 31, year N+1</t>
  </si>
  <si>
    <t>Accumulated deprec.</t>
  </si>
  <si>
    <t>Inventories</t>
  </si>
  <si>
    <t xml:space="preserve">   FG</t>
  </si>
  <si>
    <t xml:space="preserve">   DM</t>
  </si>
  <si>
    <t>Other Creditors</t>
  </si>
  <si>
    <t>TOTAL EQUITY + LIABIL.</t>
  </si>
  <si>
    <t>PART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</si>
</sst>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8" formatCode="#,##0.00\ &quot;€&quot;;[Red]\-#,##0.00\ &quot;€&quot;"/>
    <numFmt numFmtId="43" formatCode="_-* #,##0.00_-;\-* #,##0.00_-;_-* &quot;-&quot;??_-;_-@_-"/>
    <numFmt numFmtId="164" formatCode="_-&quot;€&quot;* #,##0.00_-;\-&quot;€&quot;* #,##0.00_-;_-&quot;€&quot;* &quot;-&quot;??_-;_-@_-"/>
    <numFmt numFmtId="165" formatCode="0.0000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0"/>
      <color indexed="12"/>
      <name val="Arial"/>
    </font>
    <font>
      <sz val="10"/>
      <name val="Arial"/>
      <family val="2"/>
    </font>
    <font>
      <b/>
      <sz val="26"/>
      <color theme="1"/>
      <name val="Calibri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"/>
      <name val="Calibri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3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9">
    <xf numFmtId="0" fontId="0" fillId="0" borderId="0" xfId="0"/>
    <xf numFmtId="0" fontId="3" fillId="0" borderId="0" xfId="1"/>
    <xf numFmtId="0" fontId="3" fillId="0" borderId="0" xfId="1" quotePrefix="1" applyAlignment="1">
      <alignment horizontal="center" vertical="center"/>
    </xf>
    <xf numFmtId="6" fontId="3" fillId="0" borderId="1" xfId="1" applyNumberFormat="1" applyBorder="1"/>
    <xf numFmtId="0" fontId="3" fillId="0" borderId="0" xfId="1" applyAlignment="1">
      <alignment horizontal="center" vertical="center"/>
    </xf>
    <xf numFmtId="6" fontId="3" fillId="0" borderId="0" xfId="1" applyNumberFormat="1"/>
    <xf numFmtId="8" fontId="3" fillId="0" borderId="0" xfId="1" applyNumberFormat="1"/>
    <xf numFmtId="0" fontId="0" fillId="0" borderId="0" xfId="0" applyBorder="1"/>
    <xf numFmtId="0" fontId="0" fillId="0" borderId="3" xfId="0" applyBorder="1"/>
    <xf numFmtId="43" fontId="0" fillId="0" borderId="0" xfId="6" applyFont="1"/>
    <xf numFmtId="0" fontId="0" fillId="0" borderId="0" xfId="0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9" xfId="0" applyBorder="1"/>
    <xf numFmtId="0" fontId="0" fillId="0" borderId="5" xfId="0" applyBorder="1"/>
    <xf numFmtId="43" fontId="0" fillId="0" borderId="6" xfId="6" applyFont="1" applyBorder="1"/>
    <xf numFmtId="0" fontId="8" fillId="0" borderId="0" xfId="0" applyFont="1"/>
    <xf numFmtId="17" fontId="0" fillId="0" borderId="0" xfId="0" quotePrefix="1" applyNumberFormat="1"/>
    <xf numFmtId="0" fontId="0" fillId="0" borderId="0" xfId="0" quotePrefix="1"/>
    <xf numFmtId="17" fontId="11" fillId="0" borderId="0" xfId="0" quotePrefix="1" applyNumberFormat="1" applyFont="1"/>
    <xf numFmtId="17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0" fontId="8" fillId="2" borderId="6" xfId="0" applyFont="1" applyFill="1" applyBorder="1" applyAlignment="1">
      <alignment horizontal="center"/>
    </xf>
    <xf numFmtId="165" fontId="0" fillId="0" borderId="0" xfId="0" applyNumberFormat="1" applyAlignment="1">
      <alignment horizontal="right"/>
    </xf>
    <xf numFmtId="0" fontId="12" fillId="3" borderId="0" xfId="0" quotePrefix="1" applyFont="1" applyFill="1" applyAlignment="1">
      <alignment horizontal="center"/>
    </xf>
    <xf numFmtId="43" fontId="12" fillId="3" borderId="0" xfId="6" applyFont="1" applyFill="1"/>
    <xf numFmtId="0" fontId="12" fillId="0" borderId="0" xfId="0" quotePrefix="1" applyFont="1" applyAlignment="1">
      <alignment horizontal="center"/>
    </xf>
    <xf numFmtId="0" fontId="12" fillId="0" borderId="0" xfId="0" applyFont="1"/>
    <xf numFmtId="0" fontId="3" fillId="0" borderId="0" xfId="1" applyFill="1"/>
    <xf numFmtId="43" fontId="0" fillId="0" borderId="0" xfId="0" applyNumberFormat="1"/>
    <xf numFmtId="0" fontId="11" fillId="0" borderId="0" xfId="0" applyFont="1"/>
    <xf numFmtId="43" fontId="0" fillId="0" borderId="3" xfId="6" applyFont="1" applyBorder="1"/>
    <xf numFmtId="0" fontId="0" fillId="0" borderId="3" xfId="6" applyNumberFormat="1" applyFont="1" applyBorder="1"/>
    <xf numFmtId="43" fontId="0" fillId="0" borderId="3" xfId="0" applyNumberFormat="1" applyBorder="1"/>
    <xf numFmtId="43" fontId="0" fillId="0" borderId="2" xfId="6" applyFont="1" applyBorder="1"/>
    <xf numFmtId="43" fontId="0" fillId="0" borderId="5" xfId="6" applyFont="1" applyBorder="1"/>
    <xf numFmtId="43" fontId="0" fillId="0" borderId="5" xfId="0" applyNumberFormat="1" applyBorder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4" xfId="0" applyFont="1" applyBorder="1"/>
    <xf numFmtId="43" fontId="8" fillId="0" borderId="5" xfId="6" applyFont="1" applyBorder="1"/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0" xfId="1" applyFont="1" applyAlignment="1">
      <alignment horizontal="center"/>
    </xf>
  </cellXfs>
  <cellStyles count="43">
    <cellStyle name="Currency 2" xfId="2" xr:uid="{00000000-0005-0000-0000-000001000000}"/>
    <cellStyle name="Hiperligação" xfId="7" builtinId="8" hidden="1"/>
    <cellStyle name="Hiperligação" xfId="9" builtinId="8" hidden="1"/>
    <cellStyle name="Hiperligação" xfId="11" builtinId="8" hidden="1"/>
    <cellStyle name="Hiperligação" xfId="13" builtinId="8" hidden="1"/>
    <cellStyle name="Hiperligação" xfId="15" builtinId="8" hidden="1"/>
    <cellStyle name="Hiperligação" xfId="17" builtinId="8" hidden="1"/>
    <cellStyle name="Hiperligação" xfId="19" builtinId="8" hidden="1"/>
    <cellStyle name="Hiperligação" xfId="21" builtinId="8" hidden="1"/>
    <cellStyle name="Hiperligação" xfId="23" builtinId="8" hidden="1"/>
    <cellStyle name="Hiperligação" xfId="25" builtinId="8" hidden="1"/>
    <cellStyle name="Hiperligação" xfId="27" builtinId="8" hidden="1"/>
    <cellStyle name="Hiperligação" xfId="29" builtinId="8" hidden="1"/>
    <cellStyle name="Hiperligação" xfId="31" builtinId="8" hidden="1"/>
    <cellStyle name="Hiperligação" xfId="33" builtinId="8" hidden="1"/>
    <cellStyle name="Hiperligação" xfId="35" builtinId="8" hidden="1"/>
    <cellStyle name="Hiperligação" xfId="37" builtinId="8" hidden="1"/>
    <cellStyle name="Hiperligação" xfId="39" builtinId="8" hidden="1"/>
    <cellStyle name="Hiperligação" xfId="41" builtinId="8" hidden="1"/>
    <cellStyle name="Hiperligação Visitada" xfId="8" builtinId="9" hidden="1"/>
    <cellStyle name="Hiperligação Visitada" xfId="10" builtinId="9" hidden="1"/>
    <cellStyle name="Hiperligação Visitada" xfId="12" builtinId="9" hidden="1"/>
    <cellStyle name="Hiperligação Visitada" xfId="14" builtinId="9" hidden="1"/>
    <cellStyle name="Hiperligação Visitada" xfId="16" builtinId="9" hidden="1"/>
    <cellStyle name="Hiperligação Visitada" xfId="18" builtinId="9" hidden="1"/>
    <cellStyle name="Hiperligação Visitada" xfId="20" builtinId="9" hidden="1"/>
    <cellStyle name="Hiperligação Visitada" xfId="22" builtinId="9" hidden="1"/>
    <cellStyle name="Hiperligação Visitada" xfId="24" builtinId="9" hidden="1"/>
    <cellStyle name="Hiperligação Visitada" xfId="26" builtinId="9" hidden="1"/>
    <cellStyle name="Hiperligação Visitada" xfId="28" builtinId="9" hidden="1"/>
    <cellStyle name="Hiperligação Visitada" xfId="30" builtinId="9" hidden="1"/>
    <cellStyle name="Hiperligação Visitada" xfId="32" builtinId="9" hidden="1"/>
    <cellStyle name="Hiperligação Visitada" xfId="34" builtinId="9" hidden="1"/>
    <cellStyle name="Hiperligação Visitada" xfId="36" builtinId="9" hidden="1"/>
    <cellStyle name="Hiperligação Visitada" xfId="38" builtinId="9" hidden="1"/>
    <cellStyle name="Hiperligação Visitada" xfId="40" builtinId="9" hidden="1"/>
    <cellStyle name="Hiperligação Visitada" xfId="42" builtinId="9" hidden="1"/>
    <cellStyle name="Hyperlink 2" xfId="3" xr:uid="{00000000-0005-0000-0000-000026000000}"/>
    <cellStyle name="Normal" xfId="0" builtinId="0"/>
    <cellStyle name="Normal 2" xfId="1" xr:uid="{00000000-0005-0000-0000-000028000000}"/>
    <cellStyle name="Normal 3" xfId="4" xr:uid="{00000000-0005-0000-0000-000029000000}"/>
    <cellStyle name="Normal 4" xfId="5" xr:uid="{00000000-0005-0000-0000-00002A000000}"/>
    <cellStyle name="Vírgula" xfId="6" builtin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83"/>
  <sheetViews>
    <sheetView showGridLines="0" tabSelected="1" workbookViewId="0">
      <selection activeCell="B2" sqref="B2:K2"/>
    </sheetView>
  </sheetViews>
  <sheetFormatPr defaultColWidth="11" defaultRowHeight="15.75" x14ac:dyDescent="0.25"/>
  <cols>
    <col min="1" max="1" width="3" customWidth="1"/>
  </cols>
  <sheetData>
    <row r="2" spans="2:11" ht="33.75" x14ac:dyDescent="0.5">
      <c r="B2" s="43" t="s">
        <v>111</v>
      </c>
      <c r="C2" s="43"/>
      <c r="D2" s="43"/>
      <c r="E2" s="43"/>
      <c r="F2" s="43"/>
      <c r="G2" s="43"/>
      <c r="H2" s="43"/>
      <c r="I2" s="43"/>
      <c r="J2" s="43"/>
      <c r="K2" s="43"/>
    </row>
    <row r="4" spans="2:11" x14ac:dyDescent="0.25">
      <c r="B4" s="17" t="s">
        <v>45</v>
      </c>
    </row>
    <row r="6" spans="2:11" x14ac:dyDescent="0.25">
      <c r="B6" s="18" t="s">
        <v>46</v>
      </c>
      <c r="C6">
        <f>+(5000-1000)/5</f>
        <v>800</v>
      </c>
    </row>
    <row r="7" spans="2:11" x14ac:dyDescent="0.25">
      <c r="B7" s="19" t="s">
        <v>47</v>
      </c>
      <c r="C7">
        <f>+(5500-1000)/5</f>
        <v>900</v>
      </c>
    </row>
    <row r="10" spans="2:11" x14ac:dyDescent="0.25">
      <c r="B10" s="17" t="s">
        <v>48</v>
      </c>
    </row>
    <row r="12" spans="2:11" x14ac:dyDescent="0.25">
      <c r="B12" s="20" t="s">
        <v>46</v>
      </c>
      <c r="C12" s="23" t="s">
        <v>65</v>
      </c>
    </row>
    <row r="14" spans="2:11" x14ac:dyDescent="0.25">
      <c r="B14" t="s">
        <v>49</v>
      </c>
      <c r="F14" t="s">
        <v>75</v>
      </c>
      <c r="J14" t="s">
        <v>76</v>
      </c>
    </row>
    <row r="16" spans="2:11" x14ac:dyDescent="0.25">
      <c r="B16" t="s">
        <v>50</v>
      </c>
      <c r="C16" s="10">
        <f>10000+10*1000</f>
        <v>20000</v>
      </c>
      <c r="F16" t="s">
        <v>51</v>
      </c>
      <c r="G16" s="10">
        <v>10</v>
      </c>
      <c r="J16" t="s">
        <v>50</v>
      </c>
      <c r="K16" s="10">
        <f>10*1000+10000*1000/800</f>
        <v>22500</v>
      </c>
    </row>
    <row r="17" spans="2:13" x14ac:dyDescent="0.25">
      <c r="C17" s="10"/>
    </row>
    <row r="18" spans="2:13" x14ac:dyDescent="0.25">
      <c r="B18" t="s">
        <v>51</v>
      </c>
      <c r="C18" s="10">
        <f>+C16/1000</f>
        <v>20</v>
      </c>
      <c r="F18" t="s">
        <v>52</v>
      </c>
      <c r="G18" s="10">
        <f>+G16*800</f>
        <v>8000</v>
      </c>
      <c r="J18" t="s">
        <v>51</v>
      </c>
      <c r="K18" s="10">
        <f>+K16/1000</f>
        <v>22.5</v>
      </c>
    </row>
    <row r="19" spans="2:13" x14ac:dyDescent="0.25">
      <c r="C19" s="10"/>
      <c r="K19" s="10"/>
    </row>
    <row r="20" spans="2:13" x14ac:dyDescent="0.25">
      <c r="B20" t="s">
        <v>52</v>
      </c>
      <c r="C20" s="10">
        <f>20*800</f>
        <v>16000</v>
      </c>
      <c r="F20" t="s">
        <v>53</v>
      </c>
      <c r="I20" s="10">
        <v>10000</v>
      </c>
      <c r="J20" t="s">
        <v>52</v>
      </c>
      <c r="K20" s="10">
        <f>+K18*800</f>
        <v>18000</v>
      </c>
    </row>
    <row r="22" spans="2:13" x14ac:dyDescent="0.25">
      <c r="B22" t="s">
        <v>53</v>
      </c>
      <c r="E22" s="10">
        <v>0</v>
      </c>
      <c r="J22" t="s">
        <v>77</v>
      </c>
      <c r="M22" s="10">
        <f>+(1-1000/800)*10000</f>
        <v>-2500</v>
      </c>
    </row>
    <row r="25" spans="2:13" x14ac:dyDescent="0.25">
      <c r="B25" s="20" t="s">
        <v>47</v>
      </c>
      <c r="C25" s="23" t="s">
        <v>66</v>
      </c>
    </row>
    <row r="27" spans="2:13" x14ac:dyDescent="0.25">
      <c r="B27" t="s">
        <v>54</v>
      </c>
    </row>
    <row r="29" spans="2:13" x14ac:dyDescent="0.25">
      <c r="B29" t="s">
        <v>51</v>
      </c>
      <c r="C29" s="10">
        <v>10</v>
      </c>
    </row>
    <row r="30" spans="2:13" x14ac:dyDescent="0.25">
      <c r="C30" s="10"/>
    </row>
    <row r="31" spans="2:13" x14ac:dyDescent="0.25">
      <c r="B31" t="s">
        <v>52</v>
      </c>
      <c r="C31" s="10">
        <f>10*900</f>
        <v>9000</v>
      </c>
    </row>
    <row r="33" spans="2:5" x14ac:dyDescent="0.25">
      <c r="B33" t="s">
        <v>53</v>
      </c>
      <c r="E33" s="10">
        <v>10000</v>
      </c>
    </row>
    <row r="36" spans="2:5" x14ac:dyDescent="0.25">
      <c r="B36" t="s">
        <v>55</v>
      </c>
    </row>
    <row r="38" spans="2:5" x14ac:dyDescent="0.25">
      <c r="B38" t="s">
        <v>50</v>
      </c>
      <c r="C38" s="10">
        <f>10000*1000/800+10*1000</f>
        <v>22500</v>
      </c>
    </row>
    <row r="39" spans="2:5" x14ac:dyDescent="0.25">
      <c r="C39" s="10"/>
    </row>
    <row r="40" spans="2:5" x14ac:dyDescent="0.25">
      <c r="B40" t="s">
        <v>51</v>
      </c>
      <c r="C40" s="10">
        <f>+C38/1000</f>
        <v>22.5</v>
      </c>
    </row>
    <row r="41" spans="2:5" x14ac:dyDescent="0.25">
      <c r="C41" s="10"/>
    </row>
    <row r="42" spans="2:5" x14ac:dyDescent="0.25">
      <c r="B42" t="s">
        <v>52</v>
      </c>
      <c r="C42" s="10">
        <f>+C40*900</f>
        <v>20250</v>
      </c>
    </row>
    <row r="44" spans="2:5" x14ac:dyDescent="0.25">
      <c r="B44" t="s">
        <v>53</v>
      </c>
      <c r="E44" s="10">
        <f>+(1-1000/800)*10000</f>
        <v>-2500</v>
      </c>
    </row>
    <row r="46" spans="2:5" x14ac:dyDescent="0.25">
      <c r="B46" t="s">
        <v>56</v>
      </c>
      <c r="E46" s="10">
        <f>+E44+C42</f>
        <v>17750</v>
      </c>
    </row>
    <row r="49" spans="2:5" x14ac:dyDescent="0.25">
      <c r="B49" s="17" t="s">
        <v>57</v>
      </c>
    </row>
    <row r="51" spans="2:5" x14ac:dyDescent="0.25">
      <c r="B51" t="s">
        <v>58</v>
      </c>
    </row>
    <row r="53" spans="2:5" x14ac:dyDescent="0.25">
      <c r="B53" t="s">
        <v>59</v>
      </c>
    </row>
    <row r="55" spans="2:5" x14ac:dyDescent="0.25">
      <c r="D55" s="21" t="s">
        <v>46</v>
      </c>
      <c r="E55" s="25" t="s">
        <v>47</v>
      </c>
    </row>
    <row r="56" spans="2:5" x14ac:dyDescent="0.25">
      <c r="B56" t="s">
        <v>60</v>
      </c>
      <c r="D56" s="9">
        <f>10000+1000</f>
        <v>11000</v>
      </c>
      <c r="E56" s="26">
        <f>10000+1000</f>
        <v>11000</v>
      </c>
    </row>
    <row r="57" spans="2:5" x14ac:dyDescent="0.25">
      <c r="D57" s="9"/>
      <c r="E57" s="26"/>
    </row>
    <row r="58" spans="2:5" x14ac:dyDescent="0.25">
      <c r="B58" t="s">
        <v>61</v>
      </c>
      <c r="D58" s="9">
        <v>30</v>
      </c>
      <c r="E58" s="26">
        <v>30</v>
      </c>
    </row>
    <row r="59" spans="2:5" x14ac:dyDescent="0.25">
      <c r="B59" t="s">
        <v>62</v>
      </c>
      <c r="D59" s="9">
        <f>10+5</f>
        <v>15</v>
      </c>
      <c r="E59" s="26">
        <f>10+5</f>
        <v>15</v>
      </c>
    </row>
    <row r="60" spans="2:5" x14ac:dyDescent="0.25">
      <c r="D60" s="9"/>
      <c r="E60" s="26"/>
    </row>
    <row r="61" spans="2:5" x14ac:dyDescent="0.25">
      <c r="B61" t="s">
        <v>63</v>
      </c>
      <c r="D61" s="9">
        <f>+(D58-D59)/D58</f>
        <v>0.5</v>
      </c>
      <c r="E61" s="26">
        <f>+(E58-E59)/E58</f>
        <v>0.5</v>
      </c>
    </row>
    <row r="62" spans="2:5" x14ac:dyDescent="0.25">
      <c r="D62" s="9"/>
      <c r="E62" s="26"/>
    </row>
    <row r="63" spans="2:5" x14ac:dyDescent="0.25">
      <c r="B63" t="s">
        <v>64</v>
      </c>
      <c r="D63" s="9">
        <f>+D56/D61</f>
        <v>22000</v>
      </c>
      <c r="E63" s="26">
        <f>+E56/E61</f>
        <v>22000</v>
      </c>
    </row>
    <row r="66" spans="2:7" x14ac:dyDescent="0.25">
      <c r="B66" s="17" t="s">
        <v>74</v>
      </c>
    </row>
    <row r="68" spans="2:7" x14ac:dyDescent="0.25">
      <c r="D68" s="27" t="s">
        <v>46</v>
      </c>
      <c r="E68" s="22" t="s">
        <v>47</v>
      </c>
    </row>
    <row r="69" spans="2:7" x14ac:dyDescent="0.25">
      <c r="D69" s="28"/>
    </row>
    <row r="70" spans="2:7" x14ac:dyDescent="0.25">
      <c r="B70" t="s">
        <v>67</v>
      </c>
      <c r="D70" s="28">
        <f>+(D58-D59)*800</f>
        <v>12000</v>
      </c>
      <c r="E70">
        <f>+(E58-E59)*900</f>
        <v>13500</v>
      </c>
    </row>
    <row r="71" spans="2:7" x14ac:dyDescent="0.25">
      <c r="D71" s="28"/>
    </row>
    <row r="72" spans="2:7" x14ac:dyDescent="0.25">
      <c r="B72" t="s">
        <v>68</v>
      </c>
      <c r="D72" s="28">
        <f>+D70-(10000+1000)</f>
        <v>1000</v>
      </c>
      <c r="E72">
        <f>+E70-(10000+1000)</f>
        <v>2500</v>
      </c>
    </row>
    <row r="73" spans="2:7" x14ac:dyDescent="0.25">
      <c r="D73" s="28"/>
    </row>
    <row r="74" spans="2:7" x14ac:dyDescent="0.25">
      <c r="B74" t="s">
        <v>69</v>
      </c>
      <c r="D74" s="28">
        <f>+D70/D72</f>
        <v>12</v>
      </c>
      <c r="E74">
        <f>+E70/E72</f>
        <v>5.4</v>
      </c>
    </row>
    <row r="77" spans="2:7" x14ac:dyDescent="0.25">
      <c r="B77" t="s">
        <v>71</v>
      </c>
      <c r="F77" s="24">
        <f>-15*E74</f>
        <v>-81</v>
      </c>
      <c r="G77" t="s">
        <v>70</v>
      </c>
    </row>
    <row r="79" spans="2:7" x14ac:dyDescent="0.25">
      <c r="B79" t="s">
        <v>72</v>
      </c>
      <c r="D79" s="10">
        <f>+(1+F77/100)*E72</f>
        <v>474.99999999999989</v>
      </c>
    </row>
    <row r="80" spans="2:7" x14ac:dyDescent="0.25">
      <c r="B80" t="s">
        <v>73</v>
      </c>
    </row>
    <row r="83" spans="2:2" x14ac:dyDescent="0.25">
      <c r="B83" t="s">
        <v>79</v>
      </c>
    </row>
  </sheetData>
  <mergeCells count="1">
    <mergeCell ref="B2:K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54"/>
  <sheetViews>
    <sheetView showGridLines="0" workbookViewId="0">
      <selection activeCell="B2" sqref="B2:H2"/>
    </sheetView>
  </sheetViews>
  <sheetFormatPr defaultColWidth="11" defaultRowHeight="15.75" x14ac:dyDescent="0.25"/>
  <cols>
    <col min="1" max="1" width="4" customWidth="1"/>
    <col min="4" max="4" width="11.5" bestFit="1" customWidth="1"/>
    <col min="7" max="8" width="11.5" bestFit="1" customWidth="1"/>
  </cols>
  <sheetData>
    <row r="2" spans="2:8" ht="33.75" x14ac:dyDescent="0.5">
      <c r="B2" s="44" t="s">
        <v>33</v>
      </c>
      <c r="C2" s="44"/>
      <c r="D2" s="44"/>
      <c r="E2" s="44"/>
      <c r="F2" s="44"/>
      <c r="G2" s="44"/>
      <c r="H2" s="44"/>
    </row>
    <row r="4" spans="2:8" x14ac:dyDescent="0.25">
      <c r="B4" s="17" t="s">
        <v>78</v>
      </c>
    </row>
    <row r="6" spans="2:8" x14ac:dyDescent="0.25">
      <c r="B6" s="38" t="s">
        <v>80</v>
      </c>
      <c r="C6" s="13"/>
      <c r="D6" s="13"/>
    </row>
    <row r="7" spans="2:8" x14ac:dyDescent="0.25">
      <c r="B7" s="12" t="s">
        <v>81</v>
      </c>
      <c r="C7" s="8"/>
      <c r="D7" s="32">
        <v>40000</v>
      </c>
    </row>
    <row r="8" spans="2:8" x14ac:dyDescent="0.25">
      <c r="B8" s="12" t="s">
        <v>82</v>
      </c>
      <c r="C8" s="8"/>
      <c r="D8" s="32">
        <v>62918</v>
      </c>
    </row>
    <row r="9" spans="2:8" x14ac:dyDescent="0.25">
      <c r="B9" s="12" t="s">
        <v>83</v>
      </c>
      <c r="C9" s="8"/>
      <c r="D9" s="32">
        <v>100000</v>
      </c>
    </row>
    <row r="10" spans="2:8" x14ac:dyDescent="0.25">
      <c r="B10" s="12"/>
      <c r="C10" s="8"/>
      <c r="D10" s="32"/>
    </row>
    <row r="11" spans="2:8" x14ac:dyDescent="0.25">
      <c r="B11" s="14" t="s">
        <v>88</v>
      </c>
      <c r="C11" s="15"/>
      <c r="D11" s="36">
        <f>+SUM(D7:D9)</f>
        <v>202918</v>
      </c>
    </row>
    <row r="12" spans="2:8" x14ac:dyDescent="0.25">
      <c r="B12" s="39" t="s">
        <v>84</v>
      </c>
      <c r="C12" s="8"/>
      <c r="D12" s="32"/>
    </row>
    <row r="13" spans="2:8" x14ac:dyDescent="0.25">
      <c r="B13" s="12" t="s">
        <v>85</v>
      </c>
      <c r="C13" s="8"/>
      <c r="D13" s="32">
        <f>+D16-D14</f>
        <v>2918</v>
      </c>
    </row>
    <row r="14" spans="2:8" x14ac:dyDescent="0.25">
      <c r="B14" s="12" t="s">
        <v>86</v>
      </c>
      <c r="C14" s="8"/>
      <c r="D14" s="32">
        <v>200000</v>
      </c>
    </row>
    <row r="15" spans="2:8" x14ac:dyDescent="0.25">
      <c r="B15" s="12"/>
      <c r="C15" s="8"/>
      <c r="D15" s="32"/>
    </row>
    <row r="16" spans="2:8" x14ac:dyDescent="0.25">
      <c r="B16" s="14" t="s">
        <v>87</v>
      </c>
      <c r="C16" s="15"/>
      <c r="D16" s="37">
        <f>+D11</f>
        <v>202918</v>
      </c>
    </row>
    <row r="19" spans="2:9" x14ac:dyDescent="0.25">
      <c r="B19" s="17" t="s">
        <v>89</v>
      </c>
    </row>
    <row r="21" spans="2:9" x14ac:dyDescent="0.25">
      <c r="B21" s="11" t="s">
        <v>100</v>
      </c>
      <c r="C21" s="13"/>
      <c r="D21" s="35">
        <f>258300/1.23/10*12</f>
        <v>252000</v>
      </c>
    </row>
    <row r="22" spans="2:9" x14ac:dyDescent="0.25">
      <c r="B22" s="12" t="s">
        <v>98</v>
      </c>
      <c r="C22" s="8"/>
      <c r="D22" s="32">
        <f>+G37</f>
        <v>81400</v>
      </c>
      <c r="F22" t="s">
        <v>96</v>
      </c>
      <c r="I22" s="30">
        <f>+H28+F33</f>
        <v>88800</v>
      </c>
    </row>
    <row r="23" spans="2:9" x14ac:dyDescent="0.25">
      <c r="B23" s="14" t="s">
        <v>99</v>
      </c>
      <c r="C23" s="15"/>
      <c r="D23" s="36">
        <f>+D21-D22</f>
        <v>170600</v>
      </c>
    </row>
    <row r="24" spans="2:9" x14ac:dyDescent="0.25">
      <c r="B24" s="12" t="s">
        <v>101</v>
      </c>
      <c r="C24" s="8"/>
      <c r="D24" s="32">
        <f>28600+0.8*36000</f>
        <v>57400</v>
      </c>
      <c r="F24" s="31" t="s">
        <v>90</v>
      </c>
    </row>
    <row r="25" spans="2:9" x14ac:dyDescent="0.25">
      <c r="B25" s="12" t="s">
        <v>102</v>
      </c>
      <c r="C25" s="8"/>
      <c r="D25" s="32">
        <f>100000*0.05/12*8</f>
        <v>3333.3333333333335</v>
      </c>
    </row>
    <row r="26" spans="2:9" x14ac:dyDescent="0.25">
      <c r="B26" s="14" t="s">
        <v>103</v>
      </c>
      <c r="C26" s="15"/>
      <c r="D26" s="36">
        <f>+D23-D24-D25</f>
        <v>109866.66666666667</v>
      </c>
      <c r="F26" t="s">
        <v>91</v>
      </c>
      <c r="H26" s="9">
        <v>0</v>
      </c>
    </row>
    <row r="27" spans="2:9" x14ac:dyDescent="0.25">
      <c r="D27" s="9"/>
      <c r="F27" t="s">
        <v>92</v>
      </c>
      <c r="H27" s="9">
        <f>113652/1.23/11*12</f>
        <v>100800</v>
      </c>
    </row>
    <row r="28" spans="2:9" x14ac:dyDescent="0.25">
      <c r="D28" s="9"/>
      <c r="F28" t="s">
        <v>93</v>
      </c>
      <c r="H28" s="16">
        <f>+H26+H27-H29</f>
        <v>56400</v>
      </c>
    </row>
    <row r="29" spans="2:9" x14ac:dyDescent="0.25">
      <c r="D29" s="9"/>
      <c r="F29" t="s">
        <v>94</v>
      </c>
      <c r="H29" s="9">
        <v>44400</v>
      </c>
    </row>
    <row r="30" spans="2:9" x14ac:dyDescent="0.25">
      <c r="D30" s="9"/>
    </row>
    <row r="31" spans="2:9" x14ac:dyDescent="0.25">
      <c r="D31" s="9"/>
      <c r="F31" s="31" t="s">
        <v>95</v>
      </c>
    </row>
    <row r="32" spans="2:9" x14ac:dyDescent="0.25">
      <c r="D32" s="9"/>
    </row>
    <row r="33" spans="2:7" x14ac:dyDescent="0.25">
      <c r="F33">
        <f>24150/11.5*12+36000*0.2</f>
        <v>32400</v>
      </c>
    </row>
    <row r="35" spans="2:7" x14ac:dyDescent="0.25">
      <c r="F35" t="s">
        <v>97</v>
      </c>
    </row>
    <row r="37" spans="2:7" x14ac:dyDescent="0.25">
      <c r="F37" t="s">
        <v>52</v>
      </c>
      <c r="G37" s="30">
        <f>+I22+0-I22/12</f>
        <v>81400</v>
      </c>
    </row>
    <row r="40" spans="2:7" x14ac:dyDescent="0.25">
      <c r="B40" s="17" t="s">
        <v>104</v>
      </c>
    </row>
    <row r="42" spans="2:7" x14ac:dyDescent="0.25">
      <c r="B42" s="45" t="s">
        <v>34</v>
      </c>
      <c r="C42" s="46"/>
      <c r="D42" s="47"/>
      <c r="E42" s="45" t="s">
        <v>35</v>
      </c>
      <c r="F42" s="46"/>
      <c r="G42" s="47"/>
    </row>
    <row r="43" spans="2:7" x14ac:dyDescent="0.25">
      <c r="B43" s="12"/>
      <c r="C43" s="7"/>
      <c r="D43" s="8"/>
      <c r="E43" s="7"/>
      <c r="F43" s="7"/>
      <c r="G43" s="8"/>
    </row>
    <row r="44" spans="2:7" x14ac:dyDescent="0.25">
      <c r="B44" s="12" t="s">
        <v>36</v>
      </c>
      <c r="C44" s="7"/>
      <c r="D44" s="32">
        <f>360000+200000</f>
        <v>560000</v>
      </c>
      <c r="E44" s="7" t="s">
        <v>39</v>
      </c>
      <c r="F44" s="7"/>
      <c r="G44" s="32">
        <f>+D26+400000</f>
        <v>509866.66666666669</v>
      </c>
    </row>
    <row r="45" spans="2:7" x14ac:dyDescent="0.25">
      <c r="B45" s="12" t="s">
        <v>105</v>
      </c>
      <c r="C45" s="7"/>
      <c r="D45" s="32">
        <v>36000</v>
      </c>
      <c r="E45" s="7" t="s">
        <v>40</v>
      </c>
      <c r="F45" s="7"/>
      <c r="G45" s="32"/>
    </row>
    <row r="46" spans="2:7" x14ac:dyDescent="0.25">
      <c r="B46" s="12" t="s">
        <v>37</v>
      </c>
      <c r="C46" s="7"/>
      <c r="D46" s="32">
        <f>258300/10*2</f>
        <v>51660</v>
      </c>
      <c r="E46" s="7" t="s">
        <v>83</v>
      </c>
      <c r="F46" s="7"/>
      <c r="G46" s="32">
        <v>100000</v>
      </c>
    </row>
    <row r="47" spans="2:7" x14ac:dyDescent="0.25">
      <c r="B47" s="12" t="s">
        <v>106</v>
      </c>
      <c r="C47" s="7"/>
      <c r="D47" s="32"/>
      <c r="E47" s="7" t="s">
        <v>41</v>
      </c>
      <c r="F47" s="7"/>
      <c r="G47" s="32">
        <f>113652/11</f>
        <v>10332</v>
      </c>
    </row>
    <row r="48" spans="2:7" x14ac:dyDescent="0.25">
      <c r="B48" s="12" t="s">
        <v>107</v>
      </c>
      <c r="C48" s="7"/>
      <c r="D48" s="32">
        <f>+I22/12</f>
        <v>7400</v>
      </c>
      <c r="E48" s="7" t="s">
        <v>109</v>
      </c>
      <c r="F48" s="7"/>
      <c r="G48" s="33">
        <f>24150/11.5*0.5</f>
        <v>1050</v>
      </c>
    </row>
    <row r="49" spans="2:9" x14ac:dyDescent="0.25">
      <c r="B49" s="12" t="s">
        <v>108</v>
      </c>
      <c r="C49" s="7"/>
      <c r="D49" s="32">
        <v>44400</v>
      </c>
      <c r="E49" s="7" t="s">
        <v>42</v>
      </c>
      <c r="F49" s="7"/>
      <c r="G49" s="32">
        <f>2898*2</f>
        <v>5796</v>
      </c>
    </row>
    <row r="50" spans="2:9" x14ac:dyDescent="0.25">
      <c r="B50" s="12" t="s">
        <v>38</v>
      </c>
      <c r="C50" s="7"/>
      <c r="D50" s="32">
        <f>+D13</f>
        <v>2918</v>
      </c>
      <c r="E50" s="7" t="s">
        <v>43</v>
      </c>
      <c r="F50" s="7"/>
      <c r="G50" s="34">
        <f>100000*0.05/12*8</f>
        <v>3333.3333333333335</v>
      </c>
    </row>
    <row r="51" spans="2:9" x14ac:dyDescent="0.25">
      <c r="B51" s="12"/>
      <c r="C51" s="7"/>
      <c r="D51" s="32"/>
      <c r="E51" s="7"/>
      <c r="F51" s="7"/>
      <c r="G51" s="8"/>
    </row>
    <row r="52" spans="2:9" x14ac:dyDescent="0.25">
      <c r="B52" s="40" t="s">
        <v>44</v>
      </c>
      <c r="C52" s="41"/>
      <c r="D52" s="42">
        <f>+D44-D45+D46+D48+D49+D50</f>
        <v>630378</v>
      </c>
      <c r="E52" s="41" t="s">
        <v>110</v>
      </c>
      <c r="F52" s="41"/>
      <c r="G52" s="42">
        <f>+SUM(G44:G50)</f>
        <v>630378.00000000012</v>
      </c>
      <c r="I52" s="30">
        <f>+D52-G52</f>
        <v>0</v>
      </c>
    </row>
    <row r="53" spans="2:9" x14ac:dyDescent="0.25">
      <c r="D53" s="9"/>
      <c r="G53" s="9"/>
    </row>
    <row r="54" spans="2:9" x14ac:dyDescent="0.25">
      <c r="D54" s="9"/>
    </row>
  </sheetData>
  <mergeCells count="3">
    <mergeCell ref="B2:H2"/>
    <mergeCell ref="B42:D42"/>
    <mergeCell ref="E42:G4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58"/>
  <sheetViews>
    <sheetView showGridLines="0" topLeftCell="A2" workbookViewId="0">
      <selection activeCell="A2" sqref="A2:E2"/>
    </sheetView>
  </sheetViews>
  <sheetFormatPr defaultColWidth="8.875" defaultRowHeight="15" x14ac:dyDescent="0.25"/>
  <cols>
    <col min="1" max="1" width="25.5" style="1" bestFit="1" customWidth="1"/>
    <col min="2" max="2" width="19.5" style="1" bestFit="1" customWidth="1"/>
    <col min="3" max="16384" width="8.875" style="1"/>
  </cols>
  <sheetData>
    <row r="2" spans="1:7" ht="33.75" x14ac:dyDescent="0.5">
      <c r="A2" s="48" t="s">
        <v>26</v>
      </c>
      <c r="B2" s="48"/>
      <c r="C2" s="48"/>
      <c r="D2" s="48"/>
      <c r="E2" s="48"/>
    </row>
    <row r="4" spans="1:7" x14ac:dyDescent="0.25">
      <c r="A4" s="29" t="s">
        <v>27</v>
      </c>
      <c r="G4" s="1">
        <f>234000/260</f>
        <v>900</v>
      </c>
    </row>
    <row r="5" spans="1:7" x14ac:dyDescent="0.25">
      <c r="A5" s="29"/>
    </row>
    <row r="6" spans="1:7" x14ac:dyDescent="0.25">
      <c r="A6" s="29" t="s">
        <v>25</v>
      </c>
      <c r="B6" s="1" t="s">
        <v>24</v>
      </c>
    </row>
    <row r="7" spans="1:7" x14ac:dyDescent="0.25">
      <c r="A7" s="29"/>
    </row>
    <row r="8" spans="1:7" x14ac:dyDescent="0.25">
      <c r="A8" s="29" t="s">
        <v>23</v>
      </c>
      <c r="B8" s="1" t="s">
        <v>22</v>
      </c>
    </row>
    <row r="9" spans="1:7" x14ac:dyDescent="0.25">
      <c r="A9" s="29"/>
    </row>
    <row r="10" spans="1:7" x14ac:dyDescent="0.25">
      <c r="A10" s="29"/>
    </row>
    <row r="11" spans="1:7" x14ac:dyDescent="0.25">
      <c r="A11" s="29" t="s">
        <v>28</v>
      </c>
    </row>
    <row r="12" spans="1:7" x14ac:dyDescent="0.25">
      <c r="A12" s="29"/>
    </row>
    <row r="13" spans="1:7" x14ac:dyDescent="0.25">
      <c r="A13" s="29" t="s">
        <v>21</v>
      </c>
      <c r="B13" s="1" t="s">
        <v>20</v>
      </c>
      <c r="C13" s="1" t="s">
        <v>19</v>
      </c>
    </row>
    <row r="14" spans="1:7" x14ac:dyDescent="0.25">
      <c r="A14" s="29"/>
    </row>
    <row r="15" spans="1:7" x14ac:dyDescent="0.25">
      <c r="A15" s="29" t="s">
        <v>18</v>
      </c>
      <c r="B15" s="1" t="s">
        <v>17</v>
      </c>
      <c r="D15" s="1" t="s">
        <v>16</v>
      </c>
    </row>
    <row r="16" spans="1:7" x14ac:dyDescent="0.25">
      <c r="A16" s="29"/>
    </row>
    <row r="17" spans="1:4" x14ac:dyDescent="0.25">
      <c r="A17" s="29" t="s">
        <v>15</v>
      </c>
      <c r="B17" s="1" t="s">
        <v>14</v>
      </c>
      <c r="D17" s="1" t="s">
        <v>13</v>
      </c>
    </row>
    <row r="18" spans="1:4" x14ac:dyDescent="0.25">
      <c r="A18" s="29"/>
    </row>
    <row r="19" spans="1:4" x14ac:dyDescent="0.25">
      <c r="A19" s="29"/>
    </row>
    <row r="20" spans="1:4" x14ac:dyDescent="0.25">
      <c r="A20" s="29" t="s">
        <v>29</v>
      </c>
    </row>
    <row r="21" spans="1:4" x14ac:dyDescent="0.25">
      <c r="A21" s="29"/>
    </row>
    <row r="22" spans="1:4" x14ac:dyDescent="0.25">
      <c r="A22" s="29" t="s">
        <v>12</v>
      </c>
    </row>
    <row r="23" spans="1:4" x14ac:dyDescent="0.25">
      <c r="A23" s="29"/>
    </row>
    <row r="24" spans="1:4" x14ac:dyDescent="0.25">
      <c r="A24" s="29" t="s">
        <v>11</v>
      </c>
    </row>
    <row r="25" spans="1:4" x14ac:dyDescent="0.25">
      <c r="A25" s="29"/>
    </row>
    <row r="26" spans="1:4" x14ac:dyDescent="0.25">
      <c r="A26" s="29" t="s">
        <v>10</v>
      </c>
    </row>
    <row r="27" spans="1:4" x14ac:dyDescent="0.25">
      <c r="A27" s="29"/>
    </row>
    <row r="28" spans="1:4" x14ac:dyDescent="0.25">
      <c r="A28" s="29"/>
    </row>
    <row r="29" spans="1:4" x14ac:dyDescent="0.25">
      <c r="A29" s="29" t="s">
        <v>30</v>
      </c>
    </row>
    <row r="30" spans="1:4" x14ac:dyDescent="0.25">
      <c r="A30" s="29"/>
    </row>
    <row r="31" spans="1:4" x14ac:dyDescent="0.25">
      <c r="A31" s="29"/>
    </row>
    <row r="32" spans="1:4" x14ac:dyDescent="0.25">
      <c r="A32" s="29" t="s">
        <v>9</v>
      </c>
    </row>
    <row r="33" spans="1:2" x14ac:dyDescent="0.25">
      <c r="A33" s="29" t="s">
        <v>8</v>
      </c>
    </row>
    <row r="34" spans="1:2" x14ac:dyDescent="0.25">
      <c r="A34" s="29"/>
    </row>
    <row r="35" spans="1:2" x14ac:dyDescent="0.25">
      <c r="A35" s="29"/>
    </row>
    <row r="36" spans="1:2" x14ac:dyDescent="0.25">
      <c r="A36" s="29" t="s">
        <v>31</v>
      </c>
    </row>
    <row r="37" spans="1:2" x14ac:dyDescent="0.25">
      <c r="A37" s="29"/>
    </row>
    <row r="38" spans="1:2" x14ac:dyDescent="0.25">
      <c r="A38" s="29"/>
    </row>
    <row r="39" spans="1:2" x14ac:dyDescent="0.25">
      <c r="A39" s="29" t="s">
        <v>7</v>
      </c>
      <c r="B39" s="6">
        <v>65000</v>
      </c>
    </row>
    <row r="40" spans="1:2" x14ac:dyDescent="0.25">
      <c r="A40" s="29" t="s">
        <v>6</v>
      </c>
      <c r="B40" s="5">
        <v>35000</v>
      </c>
    </row>
    <row r="41" spans="1:2" x14ac:dyDescent="0.25">
      <c r="A41" s="29" t="s">
        <v>5</v>
      </c>
      <c r="B41" s="5">
        <v>-34000</v>
      </c>
    </row>
    <row r="42" spans="1:2" x14ac:dyDescent="0.25">
      <c r="A42" s="29" t="s">
        <v>4</v>
      </c>
      <c r="B42" s="5">
        <v>8000</v>
      </c>
    </row>
    <row r="43" spans="1:2" x14ac:dyDescent="0.25">
      <c r="A43" s="29" t="s">
        <v>1</v>
      </c>
      <c r="B43" s="4" t="s">
        <v>3</v>
      </c>
    </row>
    <row r="44" spans="1:2" ht="15.75" thickBot="1" x14ac:dyDescent="0.3">
      <c r="A44" s="29" t="s">
        <v>2</v>
      </c>
      <c r="B44" s="3">
        <v>34000</v>
      </c>
    </row>
    <row r="45" spans="1:2" ht="15.75" thickTop="1" x14ac:dyDescent="0.25">
      <c r="A45" s="29"/>
    </row>
    <row r="46" spans="1:2" x14ac:dyDescent="0.25">
      <c r="A46" s="29"/>
    </row>
    <row r="47" spans="1:2" x14ac:dyDescent="0.25">
      <c r="A47" s="29" t="s">
        <v>1</v>
      </c>
      <c r="B47" s="2" t="s">
        <v>0</v>
      </c>
    </row>
    <row r="48" spans="1:2" x14ac:dyDescent="0.25">
      <c r="A48" s="29"/>
    </row>
    <row r="49" spans="1:1" x14ac:dyDescent="0.25">
      <c r="A49" s="29" t="s">
        <v>32</v>
      </c>
    </row>
    <row r="50" spans="1:1" x14ac:dyDescent="0.25">
      <c r="A50" s="29"/>
    </row>
    <row r="51" spans="1:1" x14ac:dyDescent="0.25">
      <c r="A51" s="29"/>
    </row>
    <row r="52" spans="1:1" x14ac:dyDescent="0.25">
      <c r="A52" s="29"/>
    </row>
    <row r="53" spans="1:1" x14ac:dyDescent="0.25">
      <c r="A53" s="29"/>
    </row>
    <row r="54" spans="1:1" x14ac:dyDescent="0.25">
      <c r="A54" s="29"/>
    </row>
    <row r="55" spans="1:1" x14ac:dyDescent="0.25">
      <c r="A55" s="29"/>
    </row>
    <row r="56" spans="1:1" x14ac:dyDescent="0.25">
      <c r="A56" s="29"/>
    </row>
    <row r="57" spans="1:1" x14ac:dyDescent="0.25">
      <c r="A57" s="29"/>
    </row>
    <row r="58" spans="1:1" x14ac:dyDescent="0.25">
      <c r="A58" s="29"/>
    </row>
  </sheetData>
  <mergeCells count="1">
    <mergeCell ref="A2:E2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PART I</vt:lpstr>
      <vt:lpstr>PART II</vt:lpstr>
      <vt:lpstr>PART 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Major</dc:creator>
  <cp:lastModifiedBy>Utilizador</cp:lastModifiedBy>
  <dcterms:created xsi:type="dcterms:W3CDTF">2019-04-17T11:54:10Z</dcterms:created>
  <dcterms:modified xsi:type="dcterms:W3CDTF">2019-06-04T11:54:10Z</dcterms:modified>
</cp:coreProperties>
</file>