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Francisco_Queiro\Dropbox\Teaching\Entrepreneurial Finance\Lectures 2025\8\"/>
    </mc:Choice>
  </mc:AlternateContent>
  <xr:revisionPtr revIDLastSave="0" documentId="13_ncr:1_{88932047-4DB1-462E-A182-8D8B83C91F1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Option value" sheetId="4" r:id="rId1"/>
    <sheet name="Original Cap Table" sheetId="3" r:id="rId2"/>
    <sheet name="New Cap table" sheetId="2" r:id="rId3"/>
    <sheet name="IRR" sheetId="1" r:id="rId4"/>
  </sheets>
  <externalReferences>
    <externalReference r:id="rId5"/>
  </externalReferences>
  <definedNames>
    <definedName name="_xlnm.Print_Area" localSheetId="3">IRR!$A$1:$P$29</definedName>
    <definedName name="_xlnm.Print_Area" localSheetId="2">'New Cap table'!$A$1:$P$29</definedName>
    <definedName name="_xlnm.Print_Area" localSheetId="1">'Original Cap Table'!$A$1:$M$27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4" l="1"/>
  <c r="B13" i="4"/>
  <c r="B10" i="4"/>
  <c r="B9" i="4"/>
  <c r="B15" i="4" s="1"/>
  <c r="B17" i="4" s="1"/>
  <c r="H3" i="2"/>
  <c r="J7" i="2"/>
  <c r="J9" i="2"/>
  <c r="E7" i="2"/>
  <c r="H7" i="2" s="1"/>
  <c r="E9" i="2"/>
  <c r="H9" i="2" s="1"/>
  <c r="E10" i="2"/>
  <c r="H10" i="2" s="1"/>
  <c r="E13" i="2"/>
  <c r="K13" i="2" s="1"/>
  <c r="E14" i="2"/>
  <c r="K14" i="2" s="1"/>
  <c r="N14" i="2" s="1"/>
  <c r="H15" i="2"/>
  <c r="J15" i="2" s="1"/>
  <c r="H17" i="2"/>
  <c r="K17" i="2" s="1"/>
  <c r="H18" i="2"/>
  <c r="K18" i="2" s="1"/>
  <c r="N18" i="2" s="1"/>
  <c r="K7" i="2"/>
  <c r="K32" i="2" s="1"/>
  <c r="K9" i="2"/>
  <c r="N9" i="2" s="1"/>
  <c r="K10" i="2"/>
  <c r="K11" i="2"/>
  <c r="K15" i="2"/>
  <c r="G7" i="2"/>
  <c r="G10" i="2"/>
  <c r="E11" i="2"/>
  <c r="G11" i="2"/>
  <c r="D9" i="2"/>
  <c r="D10" i="2"/>
  <c r="D11" i="2"/>
  <c r="J11" i="2"/>
  <c r="K5" i="2"/>
  <c r="N5" i="2"/>
  <c r="B29" i="2"/>
  <c r="C11" i="2" s="1"/>
  <c r="D7" i="2"/>
  <c r="E15" i="2"/>
  <c r="N10" i="2"/>
  <c r="N11" i="2"/>
  <c r="N15" i="2"/>
  <c r="C9" i="2"/>
  <c r="C10" i="2"/>
  <c r="B32" i="2"/>
  <c r="B33" i="2"/>
  <c r="B38" i="2" s="1"/>
  <c r="B34" i="2"/>
  <c r="B35" i="2"/>
  <c r="B36" i="2"/>
  <c r="D36" i="2" s="1"/>
  <c r="G36" i="2" s="1"/>
  <c r="J36" i="2" s="1"/>
  <c r="B37" i="2"/>
  <c r="E32" i="2"/>
  <c r="E33" i="2"/>
  <c r="E34" i="2"/>
  <c r="E36" i="2"/>
  <c r="E37" i="2"/>
  <c r="H35" i="2"/>
  <c r="H36" i="2"/>
  <c r="H37" i="2"/>
  <c r="K37" i="2"/>
  <c r="D33" i="2"/>
  <c r="D35" i="2"/>
  <c r="G35" i="2" s="1"/>
  <c r="J35" i="2" s="1"/>
  <c r="M35" i="2" s="1"/>
  <c r="P35" i="2" s="1"/>
  <c r="M36" i="2"/>
  <c r="P36" i="2" s="1"/>
  <c r="D37" i="2"/>
  <c r="G37" i="2" s="1"/>
  <c r="J37" i="2" s="1"/>
  <c r="M37" i="2" s="1"/>
  <c r="P37" i="2" s="1"/>
  <c r="E7" i="1"/>
  <c r="E29" i="1" s="1"/>
  <c r="F10" i="1" s="1"/>
  <c r="E9" i="1"/>
  <c r="H9" i="1" s="1"/>
  <c r="K9" i="1"/>
  <c r="N9" i="1" s="1"/>
  <c r="E10" i="1"/>
  <c r="N11" i="1"/>
  <c r="E13" i="1"/>
  <c r="H13" i="1" s="1"/>
  <c r="E14" i="1"/>
  <c r="N15" i="1"/>
  <c r="H15" i="1"/>
  <c r="H35" i="1" s="1"/>
  <c r="K11" i="1"/>
  <c r="K15" i="1"/>
  <c r="G9" i="1"/>
  <c r="G10" i="1"/>
  <c r="E11" i="1"/>
  <c r="G11" i="1" s="1"/>
  <c r="D9" i="1"/>
  <c r="D10" i="1"/>
  <c r="D11" i="1"/>
  <c r="B5" i="1" s="1"/>
  <c r="K5" i="1"/>
  <c r="N5" i="1"/>
  <c r="B29" i="1"/>
  <c r="C7" i="1" s="1"/>
  <c r="D7" i="1"/>
  <c r="D29" i="1" s="1"/>
  <c r="E15" i="1"/>
  <c r="B32" i="1"/>
  <c r="B33" i="1"/>
  <c r="D33" i="1" s="1"/>
  <c r="G33" i="1" s="1"/>
  <c r="B34" i="1"/>
  <c r="D34" i="1" s="1"/>
  <c r="G34" i="1" s="1"/>
  <c r="B35" i="1"/>
  <c r="B36" i="1"/>
  <c r="D36" i="1" s="1"/>
  <c r="B37" i="1"/>
  <c r="D37" i="1" s="1"/>
  <c r="G37" i="1" s="1"/>
  <c r="J37" i="1" s="1"/>
  <c r="M37" i="1" s="1"/>
  <c r="P37" i="1" s="1"/>
  <c r="E32" i="1"/>
  <c r="E35" i="1"/>
  <c r="E36" i="1"/>
  <c r="E37" i="1"/>
  <c r="H36" i="1"/>
  <c r="H37" i="1"/>
  <c r="K37" i="1"/>
  <c r="D35" i="1"/>
  <c r="G35" i="1" s="1"/>
  <c r="J35" i="1" s="1"/>
  <c r="M35" i="1" s="1"/>
  <c r="P35" i="1" s="1"/>
  <c r="M36" i="1"/>
  <c r="P36" i="1" s="1"/>
  <c r="J10" i="2" l="1"/>
  <c r="C33" i="2"/>
  <c r="C35" i="2"/>
  <c r="C37" i="2"/>
  <c r="K7" i="1"/>
  <c r="K32" i="1" s="1"/>
  <c r="C11" i="1"/>
  <c r="C9" i="1"/>
  <c r="C36" i="2"/>
  <c r="H14" i="2"/>
  <c r="H34" i="2" s="1"/>
  <c r="G9" i="2"/>
  <c r="E4" i="2" s="1"/>
  <c r="E5" i="2" s="1"/>
  <c r="H4" i="2" s="1"/>
  <c r="H13" i="2"/>
  <c r="J13" i="2" s="1"/>
  <c r="C7" i="2"/>
  <c r="C29" i="2" s="1"/>
  <c r="N35" i="1"/>
  <c r="K35" i="1"/>
  <c r="G36" i="1"/>
  <c r="J36" i="1" s="1"/>
  <c r="D38" i="1"/>
  <c r="K13" i="1"/>
  <c r="F13" i="1"/>
  <c r="E33" i="1"/>
  <c r="N13" i="2"/>
  <c r="N7" i="2"/>
  <c r="B38" i="1"/>
  <c r="C32" i="1" s="1"/>
  <c r="F9" i="1"/>
  <c r="F11" i="1"/>
  <c r="N35" i="2"/>
  <c r="B5" i="2"/>
  <c r="D29" i="2"/>
  <c r="F15" i="1"/>
  <c r="K10" i="1"/>
  <c r="H10" i="1"/>
  <c r="E34" i="1"/>
  <c r="D34" i="2"/>
  <c r="G34" i="2" s="1"/>
  <c r="J34" i="2" s="1"/>
  <c r="M34" i="2" s="1"/>
  <c r="P34" i="2" s="1"/>
  <c r="C34" i="2"/>
  <c r="H14" i="1"/>
  <c r="F14" i="1"/>
  <c r="C32" i="2"/>
  <c r="C38" i="2" s="1"/>
  <c r="N17" i="2"/>
  <c r="H33" i="2"/>
  <c r="C10" i="1"/>
  <c r="K14" i="1"/>
  <c r="H7" i="1"/>
  <c r="G7" i="1"/>
  <c r="F7" i="1"/>
  <c r="F29" i="1" s="1"/>
  <c r="G33" i="2"/>
  <c r="D38" i="2"/>
  <c r="H32" i="2"/>
  <c r="E29" i="2"/>
  <c r="E35" i="2"/>
  <c r="K35" i="2"/>
  <c r="C36" i="1" l="1"/>
  <c r="J14" i="2"/>
  <c r="J29" i="2" s="1"/>
  <c r="H5" i="2" s="1"/>
  <c r="N7" i="1"/>
  <c r="C35" i="1"/>
  <c r="H29" i="2"/>
  <c r="I14" i="2" s="1"/>
  <c r="C29" i="1"/>
  <c r="G29" i="2"/>
  <c r="N14" i="1"/>
  <c r="F34" i="1"/>
  <c r="H38" i="2"/>
  <c r="E4" i="1"/>
  <c r="E5" i="1" s="1"/>
  <c r="H4" i="1" s="1"/>
  <c r="G29" i="1"/>
  <c r="E38" i="1"/>
  <c r="C34" i="1"/>
  <c r="C33" i="1"/>
  <c r="C37" i="1"/>
  <c r="F33" i="1"/>
  <c r="J7" i="1"/>
  <c r="H32" i="1"/>
  <c r="N10" i="1"/>
  <c r="E38" i="2"/>
  <c r="G38" i="1"/>
  <c r="C38" i="1"/>
  <c r="F10" i="2"/>
  <c r="F13" i="2"/>
  <c r="F14" i="2"/>
  <c r="F11" i="2"/>
  <c r="F15" i="2"/>
  <c r="F9" i="2"/>
  <c r="F7" i="2"/>
  <c r="F29" i="2" s="1"/>
  <c r="J33" i="2"/>
  <c r="G38" i="2"/>
  <c r="N32" i="1"/>
  <c r="N32" i="2"/>
  <c r="N13" i="1"/>
  <c r="I17" i="2" l="1"/>
  <c r="I10" i="2"/>
  <c r="I9" i="2"/>
  <c r="I11" i="2"/>
  <c r="I18" i="2"/>
  <c r="K3" i="2"/>
  <c r="I15" i="2"/>
  <c r="I7" i="2"/>
  <c r="I13" i="2"/>
  <c r="L21" i="1"/>
  <c r="F34" i="2"/>
  <c r="F37" i="2"/>
  <c r="F33" i="2"/>
  <c r="F32" i="2"/>
  <c r="F36" i="2"/>
  <c r="F35" i="2"/>
  <c r="I37" i="2"/>
  <c r="I34" i="2"/>
  <c r="I35" i="2"/>
  <c r="I36" i="2"/>
  <c r="M33" i="2"/>
  <c r="J38" i="2"/>
  <c r="I33" i="2"/>
  <c r="F32" i="1"/>
  <c r="F36" i="1"/>
  <c r="F35" i="1"/>
  <c r="F37" i="1"/>
  <c r="I32" i="2"/>
  <c r="I29" i="2" l="1"/>
  <c r="M7" i="2"/>
  <c r="M18" i="2"/>
  <c r="M17" i="2"/>
  <c r="M11" i="2"/>
  <c r="M15" i="2"/>
  <c r="K20" i="2"/>
  <c r="M14" i="2"/>
  <c r="K21" i="2"/>
  <c r="M9" i="2"/>
  <c r="K22" i="2"/>
  <c r="M13" i="2"/>
  <c r="M10" i="2"/>
  <c r="L20" i="1"/>
  <c r="I38" i="2"/>
  <c r="F38" i="1"/>
  <c r="P33" i="2"/>
  <c r="P38" i="2" s="1"/>
  <c r="M38" i="2"/>
  <c r="F38" i="2"/>
  <c r="K36" i="2" l="1"/>
  <c r="N22" i="2"/>
  <c r="N21" i="2"/>
  <c r="K34" i="2"/>
  <c r="K33" i="2"/>
  <c r="K38" i="2" s="1"/>
  <c r="L35" i="2" s="1"/>
  <c r="N20" i="2"/>
  <c r="K29" i="2"/>
  <c r="L20" i="2" s="1"/>
  <c r="M29" i="2"/>
  <c r="L22" i="1"/>
  <c r="L32" i="2" l="1"/>
  <c r="L37" i="2"/>
  <c r="N3" i="2"/>
  <c r="L15" i="2"/>
  <c r="L9" i="2"/>
  <c r="L17" i="2"/>
  <c r="L10" i="2"/>
  <c r="L14" i="2"/>
  <c r="L7" i="2"/>
  <c r="L11" i="2"/>
  <c r="L13" i="2"/>
  <c r="L18" i="2"/>
  <c r="L36" i="2"/>
  <c r="L34" i="2"/>
  <c r="L21" i="2"/>
  <c r="L33" i="2"/>
  <c r="L22" i="2"/>
  <c r="L38" i="2" l="1"/>
  <c r="L29" i="2"/>
  <c r="N25" i="2"/>
  <c r="N34" i="2" s="1"/>
  <c r="P9" i="2"/>
  <c r="N24" i="2"/>
  <c r="N26" i="2"/>
  <c r="N36" i="2" s="1"/>
  <c r="P10" i="2"/>
  <c r="P15" i="2"/>
  <c r="P18" i="2"/>
  <c r="P13" i="2"/>
  <c r="P7" i="2"/>
  <c r="P21" i="2"/>
  <c r="P17" i="2"/>
  <c r="P11" i="2"/>
  <c r="N27" i="2"/>
  <c r="P22" i="2"/>
  <c r="P14" i="2"/>
  <c r="P20" i="2"/>
  <c r="O25" i="2"/>
  <c r="O25" i="1"/>
  <c r="Q25" i="1" s="1"/>
  <c r="O24" i="2"/>
  <c r="O24" i="1"/>
  <c r="Q24" i="1" s="1"/>
  <c r="N37" i="2" l="1"/>
  <c r="P29" i="2"/>
  <c r="N29" i="2"/>
  <c r="N33" i="2"/>
  <c r="N38" i="2" s="1"/>
  <c r="O37" i="2" s="1"/>
  <c r="T25" i="1"/>
  <c r="S25" i="1"/>
  <c r="S24" i="1"/>
  <c r="T24" i="1"/>
  <c r="O33" i="2" l="1"/>
  <c r="O32" i="2"/>
  <c r="O34" i="2"/>
  <c r="O35" i="2"/>
  <c r="O21" i="2"/>
  <c r="O22" i="2"/>
  <c r="O17" i="2"/>
  <c r="O9" i="2"/>
  <c r="O11" i="2"/>
  <c r="O14" i="2"/>
  <c r="O13" i="2"/>
  <c r="O18" i="2"/>
  <c r="O15" i="2"/>
  <c r="O7" i="2"/>
  <c r="O10" i="2"/>
  <c r="O20" i="2"/>
  <c r="O26" i="2"/>
  <c r="O27" i="2"/>
  <c r="O36" i="2"/>
  <c r="O38" i="2"/>
  <c r="O29" i="2" l="1"/>
  <c r="H5" i="1"/>
  <c r="J29" i="1"/>
  <c r="J33" i="1"/>
  <c r="J34" i="1"/>
  <c r="M34" i="1" s="1"/>
  <c r="P34" i="1" s="1"/>
  <c r="H18" i="1"/>
  <c r="H34" i="1"/>
  <c r="H17" i="1"/>
  <c r="H33" i="1" s="1"/>
  <c r="H29" i="1" l="1"/>
  <c r="I9" i="1" s="1"/>
  <c r="J9" i="1" s="1"/>
  <c r="J38" i="1"/>
  <c r="I18" i="1"/>
  <c r="H38" i="1"/>
  <c r="I33" i="1" s="1"/>
  <c r="K17" i="1"/>
  <c r="K18" i="1"/>
  <c r="I13" i="1"/>
  <c r="J13" i="1" s="1"/>
  <c r="I17" i="1"/>
  <c r="K3" i="1"/>
  <c r="I10" i="1"/>
  <c r="J10" i="1" s="1"/>
  <c r="I15" i="1"/>
  <c r="J15" i="1" s="1"/>
  <c r="M33" i="1"/>
  <c r="I14" i="1"/>
  <c r="J14" i="1" s="1"/>
  <c r="I7" i="1"/>
  <c r="I11" i="1"/>
  <c r="J11" i="1" s="1"/>
  <c r="I34" i="1" l="1"/>
  <c r="M17" i="1"/>
  <c r="N17" i="1"/>
  <c r="M38" i="1"/>
  <c r="P33" i="1"/>
  <c r="P38" i="1" s="1"/>
  <c r="M15" i="1"/>
  <c r="M9" i="1"/>
  <c r="M7" i="1"/>
  <c r="K21" i="1"/>
  <c r="N21" i="1" s="1"/>
  <c r="M11" i="1"/>
  <c r="M10" i="1"/>
  <c r="M13" i="1"/>
  <c r="M14" i="1"/>
  <c r="K22" i="1"/>
  <c r="K20" i="1"/>
  <c r="N20" i="1" s="1"/>
  <c r="I29" i="1"/>
  <c r="N18" i="1"/>
  <c r="M18" i="1"/>
  <c r="I35" i="1"/>
  <c r="I36" i="1"/>
  <c r="I37" i="1"/>
  <c r="I32" i="1"/>
  <c r="K34" i="1" l="1"/>
  <c r="K33" i="1"/>
  <c r="K29" i="1"/>
  <c r="K36" i="1"/>
  <c r="N22" i="1"/>
  <c r="I38" i="1"/>
  <c r="M29" i="1"/>
  <c r="L10" i="1" l="1"/>
  <c r="L9" i="1"/>
  <c r="L11" i="1"/>
  <c r="L14" i="1"/>
  <c r="L15" i="1"/>
  <c r="L13" i="1"/>
  <c r="L7" i="1"/>
  <c r="N3" i="1"/>
  <c r="P22" i="1" s="1"/>
  <c r="L17" i="1"/>
  <c r="L18" i="1"/>
  <c r="K38" i="1"/>
  <c r="L36" i="1" s="1"/>
  <c r="L29" i="1" l="1"/>
  <c r="L32" i="1"/>
  <c r="L37" i="1"/>
  <c r="L35" i="1"/>
  <c r="L34" i="1"/>
  <c r="L33" i="1"/>
  <c r="N24" i="1"/>
  <c r="P10" i="1"/>
  <c r="P13" i="1"/>
  <c r="P9" i="1"/>
  <c r="N25" i="1"/>
  <c r="N34" i="1" s="1"/>
  <c r="P14" i="1"/>
  <c r="P15" i="1"/>
  <c r="P11" i="1"/>
  <c r="N27" i="1"/>
  <c r="P7" i="1"/>
  <c r="N26" i="1"/>
  <c r="P21" i="1"/>
  <c r="P17" i="1"/>
  <c r="P20" i="1"/>
  <c r="P18" i="1"/>
  <c r="P29" i="1" l="1"/>
  <c r="N36" i="1"/>
  <c r="N33" i="1"/>
  <c r="N29" i="1"/>
  <c r="O27" i="1" s="1"/>
  <c r="Q27" i="1" s="1"/>
  <c r="N37" i="1"/>
  <c r="L38" i="1"/>
  <c r="N38" i="1" l="1"/>
  <c r="O36" i="1" s="1"/>
  <c r="T27" i="1"/>
  <c r="S27" i="1"/>
  <c r="O9" i="1"/>
  <c r="Q9" i="1" s="1"/>
  <c r="O15" i="1"/>
  <c r="Q15" i="1" s="1"/>
  <c r="O10" i="1"/>
  <c r="Q10" i="1" s="1"/>
  <c r="O11" i="1"/>
  <c r="Q11" i="1" s="1"/>
  <c r="O7" i="1"/>
  <c r="O14" i="1"/>
  <c r="Q14" i="1" s="1"/>
  <c r="O13" i="1"/>
  <c r="Q13" i="1" s="1"/>
  <c r="O17" i="1"/>
  <c r="Q17" i="1" s="1"/>
  <c r="O21" i="1"/>
  <c r="Q21" i="1" s="1"/>
  <c r="O20" i="1"/>
  <c r="Q20" i="1" s="1"/>
  <c r="O18" i="1"/>
  <c r="Q18" i="1" s="1"/>
  <c r="O22" i="1"/>
  <c r="Q22" i="1" s="1"/>
  <c r="O26" i="1"/>
  <c r="Q26" i="1" s="1"/>
  <c r="O37" i="1" l="1"/>
  <c r="T26" i="1"/>
  <c r="S26" i="1"/>
  <c r="T9" i="1"/>
  <c r="S9" i="1"/>
  <c r="S20" i="1"/>
  <c r="T20" i="1"/>
  <c r="T14" i="1"/>
  <c r="S14" i="1"/>
  <c r="T15" i="1"/>
  <c r="S15" i="1"/>
  <c r="T21" i="1"/>
  <c r="S21" i="1"/>
  <c r="T22" i="1"/>
  <c r="S22" i="1"/>
  <c r="S17" i="1"/>
  <c r="T17" i="1"/>
  <c r="S11" i="1"/>
  <c r="T11" i="1"/>
  <c r="O35" i="1"/>
  <c r="O32" i="1"/>
  <c r="O34" i="1"/>
  <c r="O29" i="1"/>
  <c r="Q7" i="1"/>
  <c r="Q29" i="1" s="1"/>
  <c r="T18" i="1"/>
  <c r="S18" i="1"/>
  <c r="T13" i="1"/>
  <c r="S13" i="1"/>
  <c r="T10" i="1"/>
  <c r="S10" i="1"/>
  <c r="O33" i="1"/>
  <c r="O38" i="1" l="1"/>
</calcChain>
</file>

<file path=xl/sharedStrings.xml><?xml version="1.0" encoding="utf-8"?>
<sst xmlns="http://schemas.openxmlformats.org/spreadsheetml/2006/main" count="214" uniqueCount="54">
  <si>
    <t>Series --&gt;</t>
  </si>
  <si>
    <t>Series A1 ($ 4 M)</t>
  </si>
  <si>
    <t>Series A2 ($ 6 M)</t>
  </si>
  <si>
    <t>Bridge ($ 5 M)</t>
  </si>
  <si>
    <t>Series B ($ 25 M)</t>
  </si>
  <si>
    <t>Series C ($ 35 M)</t>
  </si>
  <si>
    <t>Exit</t>
  </si>
  <si>
    <t>Timing --&gt;</t>
  </si>
  <si>
    <t xml:space="preserve"> June 2008</t>
  </si>
  <si>
    <t xml:space="preserve"> September 2009</t>
  </si>
  <si>
    <t>December 2011</t>
  </si>
  <si>
    <t xml:space="preserve"> September 2012</t>
  </si>
  <si>
    <t xml:space="preserve"> June 2014</t>
  </si>
  <si>
    <t>December 2016</t>
  </si>
  <si>
    <t>Share price --&gt;</t>
  </si>
  <si>
    <t>Pre-Money --&gt;</t>
  </si>
  <si>
    <t>Post-Money --&gt;</t>
  </si>
  <si>
    <t>Number of shares</t>
  </si>
  <si>
    <t>Ownership</t>
  </si>
  <si>
    <t>Value</t>
  </si>
  <si>
    <t>Exit value</t>
  </si>
  <si>
    <t># years</t>
  </si>
  <si>
    <t>IRR</t>
  </si>
  <si>
    <t>Expected Value</t>
  </si>
  <si>
    <t>Common (Founders, Mgmt &amp;  option pool)</t>
  </si>
  <si>
    <t>Series A1 Investors</t>
  </si>
  <si>
    <t xml:space="preserve">    Ware Street Capital</t>
  </si>
  <si>
    <t xml:space="preserve">    Franconia Ventures</t>
  </si>
  <si>
    <t xml:space="preserve">    Bluelock Ventures</t>
  </si>
  <si>
    <t>Series A2 Investors</t>
  </si>
  <si>
    <t>Bridge Investors</t>
  </si>
  <si>
    <t>Series B Investors</t>
  </si>
  <si>
    <t>Series B Investor</t>
  </si>
  <si>
    <t>Series C Investors</t>
  </si>
  <si>
    <t>Series C Investor</t>
  </si>
  <si>
    <t>Total Shares Outstanding</t>
  </si>
  <si>
    <t>Cumulative</t>
  </si>
  <si>
    <t>Shares</t>
  </si>
  <si>
    <t>Investment</t>
  </si>
  <si>
    <t>Common</t>
  </si>
  <si>
    <t>Total</t>
  </si>
  <si>
    <t xml:space="preserve"> September 2011</t>
  </si>
  <si>
    <t xml:space="preserve"> June 2013</t>
  </si>
  <si>
    <t>With the bridge round</t>
  </si>
  <si>
    <t>Series C pre-money</t>
  </si>
  <si>
    <t>Series B pre-money</t>
  </si>
  <si>
    <t>Series B investment</t>
  </si>
  <si>
    <t>Bridge  pre-money</t>
  </si>
  <si>
    <t>Bridge investment</t>
  </si>
  <si>
    <t>p2</t>
  </si>
  <si>
    <t>p1</t>
  </si>
  <si>
    <t>Without the bridge round</t>
  </si>
  <si>
    <t>Series B EV</t>
  </si>
  <si>
    <t>Option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</si>
</sst>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0"/>
    <numFmt numFmtId="167" formatCode="&quot;$&quot;#,##0.0_);[Red]\(&quot;$&quot;#,##0.0\)"/>
    <numFmt numFmtId="168" formatCode="0.00000"/>
    <numFmt numFmtId="169" formatCode="#,##0.000"/>
  </numFmts>
  <fonts count="22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" fillId="23" borderId="7" applyNumberFormat="0" applyFont="0" applyAlignment="0" applyProtection="0"/>
    <xf numFmtId="0" fontId="15" fillId="20" borderId="8" applyNumberFormat="0" applyAlignment="0" applyProtection="0"/>
    <xf numFmtId="9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" fillId="0" borderId="0"/>
  </cellStyleXfs>
  <cellXfs count="208">
    <xf numFmtId="0" fontId="0" fillId="0" borderId="0" xfId="0"/>
    <xf numFmtId="0" fontId="3" fillId="24" borderId="10" xfId="0" applyFont="1" applyFill="1" applyBorder="1" applyAlignment="1">
      <alignment horizontal="center"/>
    </xf>
    <xf numFmtId="0" fontId="3" fillId="24" borderId="13" xfId="0" applyFont="1" applyFill="1" applyBorder="1" applyAlignment="1">
      <alignment horizontal="center"/>
    </xf>
    <xf numFmtId="0" fontId="20" fillId="24" borderId="13" xfId="0" applyFont="1" applyFill="1" applyBorder="1" applyAlignment="1">
      <alignment horizontal="center"/>
    </xf>
    <xf numFmtId="0" fontId="0" fillId="24" borderId="13" xfId="0" applyFill="1" applyBorder="1" applyAlignment="1">
      <alignment wrapText="1"/>
    </xf>
    <xf numFmtId="0" fontId="0" fillId="24" borderId="18" xfId="0" applyFill="1" applyBorder="1" applyAlignment="1">
      <alignment horizontal="center" wrapText="1"/>
    </xf>
    <xf numFmtId="0" fontId="0" fillId="24" borderId="19" xfId="0" applyFill="1" applyBorder="1" applyAlignment="1">
      <alignment horizontal="center" wrapText="1"/>
    </xf>
    <xf numFmtId="0" fontId="0" fillId="24" borderId="20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64" fontId="2" fillId="24" borderId="13" xfId="28" applyNumberFormat="1" applyFont="1" applyFill="1" applyBorder="1" applyAlignment="1">
      <alignment horizontal="center" vertical="center"/>
    </xf>
    <xf numFmtId="165" fontId="0" fillId="24" borderId="0" xfId="0" applyNumberFormat="1" applyFill="1" applyAlignment="1">
      <alignment horizontal="center" vertical="center"/>
    </xf>
    <xf numFmtId="6" fontId="0" fillId="24" borderId="14" xfId="0" applyNumberFormat="1" applyFill="1" applyBorder="1" applyAlignment="1">
      <alignment horizontal="center" vertical="center"/>
    </xf>
    <xf numFmtId="164" fontId="0" fillId="24" borderId="0" xfId="0" applyNumberFormat="1" applyFill="1" applyAlignment="1">
      <alignment horizontal="center" vertical="center"/>
    </xf>
    <xf numFmtId="165" fontId="2" fillId="24" borderId="0" xfId="40" applyNumberFormat="1" applyFont="1" applyFill="1" applyBorder="1" applyAlignment="1">
      <alignment horizontal="center" vertical="center"/>
    </xf>
    <xf numFmtId="6" fontId="0" fillId="24" borderId="0" xfId="0" applyNumberFormat="1" applyFill="1" applyAlignment="1">
      <alignment horizontal="center" vertical="center"/>
    </xf>
    <xf numFmtId="164" fontId="0" fillId="24" borderId="13" xfId="0" applyNumberFormat="1" applyFill="1" applyBorder="1" applyAlignment="1">
      <alignment horizontal="center" vertical="center"/>
    </xf>
    <xf numFmtId="0" fontId="21" fillId="27" borderId="13" xfId="0" applyFont="1" applyFill="1" applyBorder="1"/>
    <xf numFmtId="165" fontId="21" fillId="27" borderId="0" xfId="0" applyNumberFormat="1" applyFont="1" applyFill="1" applyAlignment="1">
      <alignment horizontal="center"/>
    </xf>
    <xf numFmtId="0" fontId="21" fillId="27" borderId="14" xfId="0" applyFont="1" applyFill="1" applyBorder="1"/>
    <xf numFmtId="0" fontId="21" fillId="27" borderId="0" xfId="0" applyFont="1" applyFill="1"/>
    <xf numFmtId="164" fontId="21" fillId="27" borderId="13" xfId="0" applyNumberFormat="1" applyFont="1" applyFill="1" applyBorder="1"/>
    <xf numFmtId="6" fontId="21" fillId="27" borderId="14" xfId="0" applyNumberFormat="1" applyFont="1" applyFill="1" applyBorder="1"/>
    <xf numFmtId="0" fontId="0" fillId="24" borderId="13" xfId="0" applyFill="1" applyBorder="1"/>
    <xf numFmtId="3" fontId="0" fillId="24" borderId="13" xfId="0" applyNumberFormat="1" applyFill="1" applyBorder="1"/>
    <xf numFmtId="165" fontId="0" fillId="24" borderId="0" xfId="0" applyNumberFormat="1" applyFill="1" applyAlignment="1">
      <alignment horizontal="center"/>
    </xf>
    <xf numFmtId="6" fontId="0" fillId="24" borderId="14" xfId="0" applyNumberFormat="1" applyFill="1" applyBorder="1"/>
    <xf numFmtId="164" fontId="0" fillId="24" borderId="0" xfId="0" applyNumberFormat="1" applyFill="1"/>
    <xf numFmtId="165" fontId="2" fillId="24" borderId="0" xfId="40" applyNumberFormat="1" applyFont="1" applyFill="1" applyBorder="1" applyAlignment="1">
      <alignment horizontal="center"/>
    </xf>
    <xf numFmtId="6" fontId="0" fillId="24" borderId="0" xfId="0" applyNumberFormat="1" applyFill="1"/>
    <xf numFmtId="164" fontId="0" fillId="24" borderId="13" xfId="0" applyNumberFormat="1" applyFill="1" applyBorder="1"/>
    <xf numFmtId="165" fontId="0" fillId="24" borderId="14" xfId="0" applyNumberFormat="1" applyFill="1" applyBorder="1"/>
    <xf numFmtId="6" fontId="0" fillId="0" borderId="0" xfId="0" applyNumberFormat="1"/>
    <xf numFmtId="9" fontId="0" fillId="0" borderId="0" xfId="0" applyNumberFormat="1"/>
    <xf numFmtId="9" fontId="21" fillId="27" borderId="0" xfId="0" applyNumberFormat="1" applyFont="1" applyFill="1" applyAlignment="1">
      <alignment horizontal="center"/>
    </xf>
    <xf numFmtId="3" fontId="0" fillId="24" borderId="0" xfId="0" applyNumberFormat="1" applyFill="1"/>
    <xf numFmtId="0" fontId="0" fillId="24" borderId="14" xfId="0" applyFill="1" applyBorder="1"/>
    <xf numFmtId="164" fontId="2" fillId="24" borderId="0" xfId="28" applyNumberFormat="1" applyFont="1" applyFill="1" applyBorder="1"/>
    <xf numFmtId="164" fontId="2" fillId="24" borderId="13" xfId="28" applyNumberFormat="1" applyFont="1" applyFill="1" applyBorder="1"/>
    <xf numFmtId="0" fontId="21" fillId="27" borderId="0" xfId="0" applyFont="1" applyFill="1" applyAlignment="1">
      <alignment horizontal="center"/>
    </xf>
    <xf numFmtId="9" fontId="2" fillId="24" borderId="0" xfId="40" applyFont="1" applyFill="1" applyBorder="1"/>
    <xf numFmtId="0" fontId="0" fillId="24" borderId="13" xfId="0" applyFill="1" applyBorder="1" applyAlignment="1">
      <alignment horizontal="left" indent="1"/>
    </xf>
    <xf numFmtId="0" fontId="0" fillId="24" borderId="0" xfId="0" applyFill="1"/>
    <xf numFmtId="0" fontId="0" fillId="24" borderId="15" xfId="0" applyFill="1" applyBorder="1"/>
    <xf numFmtId="0" fontId="0" fillId="24" borderId="16" xfId="0" applyFill="1" applyBorder="1"/>
    <xf numFmtId="0" fontId="0" fillId="24" borderId="17" xfId="0" applyFill="1" applyBorder="1"/>
    <xf numFmtId="0" fontId="0" fillId="24" borderId="18" xfId="0" applyFill="1" applyBorder="1"/>
    <xf numFmtId="164" fontId="0" fillId="24" borderId="18" xfId="0" applyNumberFormat="1" applyFill="1" applyBorder="1"/>
    <xf numFmtId="9" fontId="2" fillId="24" borderId="19" xfId="40" applyFont="1" applyFill="1" applyBorder="1" applyAlignment="1">
      <alignment horizontal="center"/>
    </xf>
    <xf numFmtId="5" fontId="2" fillId="24" borderId="19" xfId="28" applyNumberFormat="1" applyFont="1" applyFill="1" applyBorder="1"/>
    <xf numFmtId="9" fontId="0" fillId="24" borderId="19" xfId="0" applyNumberFormat="1" applyFill="1" applyBorder="1" applyAlignment="1">
      <alignment horizontal="center"/>
    </xf>
    <xf numFmtId="6" fontId="0" fillId="24" borderId="19" xfId="0" applyNumberFormat="1" applyFill="1" applyBorder="1"/>
    <xf numFmtId="6" fontId="0" fillId="24" borderId="20" xfId="0" applyNumberFormat="1" applyFill="1" applyBorder="1"/>
    <xf numFmtId="8" fontId="0" fillId="0" borderId="0" xfId="0" applyNumberFormat="1"/>
    <xf numFmtId="164" fontId="2" fillId="0" borderId="0" xfId="28" applyNumberFormat="1" applyFont="1"/>
    <xf numFmtId="0" fontId="17" fillId="27" borderId="0" xfId="0" applyFont="1" applyFill="1"/>
    <xf numFmtId="0" fontId="0" fillId="27" borderId="0" xfId="0" applyFill="1" applyAlignment="1">
      <alignment horizontal="center"/>
    </xf>
    <xf numFmtId="165" fontId="0" fillId="27" borderId="0" xfId="0" applyNumberFormat="1" applyFill="1" applyAlignment="1">
      <alignment horizontal="center"/>
    </xf>
    <xf numFmtId="0" fontId="0" fillId="0" borderId="21" xfId="0" applyBorder="1"/>
    <xf numFmtId="164" fontId="2" fillId="0" borderId="22" xfId="28" applyNumberFormat="1" applyFont="1" applyBorder="1" applyAlignment="1">
      <alignment horizontal="center"/>
    </xf>
    <xf numFmtId="165" fontId="2" fillId="0" borderId="22" xfId="40" applyNumberFormat="1" applyFont="1" applyBorder="1" applyAlignment="1">
      <alignment horizontal="center"/>
    </xf>
    <xf numFmtId="6" fontId="0" fillId="24" borderId="23" xfId="0" applyNumberFormat="1" applyFill="1" applyBorder="1" applyAlignment="1">
      <alignment horizontal="center"/>
    </xf>
    <xf numFmtId="0" fontId="0" fillId="24" borderId="24" xfId="0" applyFill="1" applyBorder="1"/>
    <xf numFmtId="164" fontId="2" fillId="0" borderId="0" xfId="28" applyNumberFormat="1" applyFont="1" applyBorder="1" applyAlignment="1">
      <alignment horizontal="center"/>
    </xf>
    <xf numFmtId="165" fontId="2" fillId="0" borderId="0" xfId="40" applyNumberFormat="1" applyFont="1" applyBorder="1" applyAlignment="1">
      <alignment horizontal="center"/>
    </xf>
    <xf numFmtId="6" fontId="0" fillId="24" borderId="14" xfId="0" applyNumberFormat="1" applyFill="1" applyBorder="1" applyAlignment="1">
      <alignment horizontal="center"/>
    </xf>
    <xf numFmtId="0" fontId="0" fillId="24" borderId="24" xfId="0" applyFill="1" applyBorder="1" applyAlignment="1">
      <alignment horizontal="left" indent="1"/>
    </xf>
    <xf numFmtId="0" fontId="0" fillId="24" borderId="25" xfId="0" applyFill="1" applyBorder="1"/>
    <xf numFmtId="164" fontId="0" fillId="0" borderId="26" xfId="0" applyNumberFormat="1" applyBorder="1" applyAlignment="1">
      <alignment horizontal="center"/>
    </xf>
    <xf numFmtId="165" fontId="2" fillId="0" borderId="26" xfId="40" applyNumberFormat="1" applyFont="1" applyBorder="1" applyAlignment="1">
      <alignment horizontal="center"/>
    </xf>
    <xf numFmtId="6" fontId="0" fillId="24" borderId="27" xfId="0" applyNumberFormat="1" applyFill="1" applyBorder="1" applyAlignment="1">
      <alignment horizontal="center"/>
    </xf>
    <xf numFmtId="6" fontId="0" fillId="24" borderId="28" xfId="0" applyNumberFormat="1" applyFill="1" applyBorder="1" applyAlignment="1">
      <alignment horizontal="center"/>
    </xf>
    <xf numFmtId="6" fontId="21" fillId="27" borderId="0" xfId="0" applyNumberFormat="1" applyFont="1" applyFill="1"/>
    <xf numFmtId="6" fontId="0" fillId="24" borderId="13" xfId="0" applyNumberFormat="1" applyFill="1" applyBorder="1"/>
    <xf numFmtId="6" fontId="0" fillId="24" borderId="18" xfId="0" applyNumberFormat="1" applyFill="1" applyBorder="1"/>
    <xf numFmtId="6" fontId="0" fillId="24" borderId="10" xfId="0" applyNumberFormat="1" applyFill="1" applyBorder="1" applyAlignment="1">
      <alignment horizontal="center" vertical="center"/>
    </xf>
    <xf numFmtId="164" fontId="2" fillId="28" borderId="13" xfId="28" applyNumberFormat="1" applyFont="1" applyFill="1" applyBorder="1"/>
    <xf numFmtId="165" fontId="2" fillId="28" borderId="0" xfId="40" applyNumberFormat="1" applyFont="1" applyFill="1" applyBorder="1" applyAlignment="1">
      <alignment horizontal="center" vertical="center"/>
    </xf>
    <xf numFmtId="6" fontId="0" fillId="28" borderId="14" xfId="0" applyNumberFormat="1" applyFill="1" applyBorder="1"/>
    <xf numFmtId="165" fontId="2" fillId="28" borderId="0" xfId="40" applyNumberFormat="1" applyFont="1" applyFill="1" applyBorder="1" applyAlignment="1">
      <alignment horizontal="center"/>
    </xf>
    <xf numFmtId="6" fontId="0" fillId="28" borderId="14" xfId="0" applyNumberFormat="1" applyFill="1" applyBorder="1" applyAlignment="1">
      <alignment horizontal="center" vertical="center"/>
    </xf>
    <xf numFmtId="164" fontId="0" fillId="28" borderId="13" xfId="0" applyNumberFormat="1" applyFill="1" applyBorder="1"/>
    <xf numFmtId="164" fontId="0" fillId="28" borderId="18" xfId="0" applyNumberFormat="1" applyFill="1" applyBorder="1"/>
    <xf numFmtId="6" fontId="0" fillId="29" borderId="14" xfId="0" applyNumberFormat="1" applyFill="1" applyBorder="1"/>
    <xf numFmtId="6" fontId="0" fillId="30" borderId="14" xfId="0" applyNumberFormat="1" applyFill="1" applyBorder="1"/>
    <xf numFmtId="165" fontId="2" fillId="30" borderId="0" xfId="40" applyNumberFormat="1" applyFont="1" applyFill="1" applyBorder="1" applyAlignment="1">
      <alignment horizontal="center"/>
    </xf>
    <xf numFmtId="165" fontId="2" fillId="29" borderId="0" xfId="40" applyNumberFormat="1" applyFont="1" applyFill="1" applyBorder="1" applyAlignment="1">
      <alignment horizontal="center"/>
    </xf>
    <xf numFmtId="164" fontId="2" fillId="31" borderId="13" xfId="28" applyNumberFormat="1" applyFont="1" applyFill="1" applyBorder="1"/>
    <xf numFmtId="165" fontId="2" fillId="31" borderId="0" xfId="40" applyNumberFormat="1" applyFont="1" applyFill="1" applyBorder="1" applyAlignment="1">
      <alignment horizontal="center" vertical="center"/>
    </xf>
    <xf numFmtId="6" fontId="0" fillId="31" borderId="14" xfId="0" applyNumberFormat="1" applyFill="1" applyBorder="1"/>
    <xf numFmtId="164" fontId="0" fillId="31" borderId="13" xfId="0" applyNumberFormat="1" applyFill="1" applyBorder="1"/>
    <xf numFmtId="165" fontId="2" fillId="31" borderId="0" xfId="40" applyNumberFormat="1" applyFont="1" applyFill="1" applyBorder="1" applyAlignment="1">
      <alignment horizontal="center"/>
    </xf>
    <xf numFmtId="0" fontId="3" fillId="24" borderId="10" xfId="44" applyFont="1" applyFill="1" applyBorder="1" applyAlignment="1">
      <alignment horizontal="center"/>
    </xf>
    <xf numFmtId="0" fontId="1" fillId="0" borderId="0" xfId="44"/>
    <xf numFmtId="0" fontId="3" fillId="24" borderId="13" xfId="44" applyFont="1" applyFill="1" applyBorder="1" applyAlignment="1">
      <alignment horizontal="center"/>
    </xf>
    <xf numFmtId="0" fontId="20" fillId="24" borderId="13" xfId="44" applyFont="1" applyFill="1" applyBorder="1" applyAlignment="1">
      <alignment horizontal="center"/>
    </xf>
    <xf numFmtId="0" fontId="1" fillId="24" borderId="13" xfId="44" applyFill="1" applyBorder="1" applyAlignment="1">
      <alignment wrapText="1"/>
    </xf>
    <xf numFmtId="0" fontId="1" fillId="24" borderId="18" xfId="44" applyFill="1" applyBorder="1" applyAlignment="1">
      <alignment horizontal="center" wrapText="1"/>
    </xf>
    <xf numFmtId="0" fontId="1" fillId="24" borderId="19" xfId="44" applyFill="1" applyBorder="1" applyAlignment="1">
      <alignment horizontal="center" wrapText="1"/>
    </xf>
    <xf numFmtId="0" fontId="1" fillId="24" borderId="20" xfId="44" applyFill="1" applyBorder="1" applyAlignment="1">
      <alignment horizontal="center" wrapText="1"/>
    </xf>
    <xf numFmtId="0" fontId="1" fillId="0" borderId="0" xfId="44" applyAlignment="1">
      <alignment wrapText="1"/>
    </xf>
    <xf numFmtId="164" fontId="0" fillId="24" borderId="13" xfId="28" applyNumberFormat="1" applyFont="1" applyFill="1" applyBorder="1" applyAlignment="1">
      <alignment horizontal="center" vertical="center"/>
    </xf>
    <xf numFmtId="165" fontId="1" fillId="24" borderId="0" xfId="44" applyNumberFormat="1" applyFill="1" applyAlignment="1">
      <alignment horizontal="center" vertical="center"/>
    </xf>
    <xf numFmtId="6" fontId="1" fillId="24" borderId="14" xfId="44" applyNumberFormat="1" applyFill="1" applyBorder="1" applyAlignment="1">
      <alignment horizontal="center" vertical="center"/>
    </xf>
    <xf numFmtId="164" fontId="1" fillId="24" borderId="0" xfId="44" applyNumberFormat="1" applyFill="1" applyAlignment="1">
      <alignment horizontal="center" vertical="center"/>
    </xf>
    <xf numFmtId="165" fontId="0" fillId="24" borderId="0" xfId="40" applyNumberFormat="1" applyFont="1" applyFill="1" applyBorder="1" applyAlignment="1">
      <alignment horizontal="center" vertical="center"/>
    </xf>
    <xf numFmtId="6" fontId="1" fillId="24" borderId="0" xfId="44" applyNumberFormat="1" applyFill="1" applyAlignment="1">
      <alignment horizontal="center" vertical="center"/>
    </xf>
    <xf numFmtId="164" fontId="1" fillId="24" borderId="13" xfId="44" applyNumberFormat="1" applyFill="1" applyBorder="1" applyAlignment="1">
      <alignment horizontal="center" vertical="center"/>
    </xf>
    <xf numFmtId="0" fontId="1" fillId="0" borderId="11" xfId="44" applyBorder="1"/>
    <xf numFmtId="0" fontId="21" fillId="27" borderId="13" xfId="44" applyFont="1" applyFill="1" applyBorder="1"/>
    <xf numFmtId="165" fontId="21" fillId="27" borderId="0" xfId="44" applyNumberFormat="1" applyFont="1" applyFill="1" applyAlignment="1">
      <alignment horizontal="center"/>
    </xf>
    <xf numFmtId="0" fontId="21" fillId="27" borderId="14" xfId="44" applyFont="1" applyFill="1" applyBorder="1"/>
    <xf numFmtId="0" fontId="21" fillId="27" borderId="0" xfId="44" applyFont="1" applyFill="1"/>
    <xf numFmtId="164" fontId="21" fillId="27" borderId="13" xfId="44" applyNumberFormat="1" applyFont="1" applyFill="1" applyBorder="1"/>
    <xf numFmtId="6" fontId="21" fillId="27" borderId="14" xfId="44" applyNumberFormat="1" applyFont="1" applyFill="1" applyBorder="1"/>
    <xf numFmtId="0" fontId="1" fillId="24" borderId="13" xfId="44" applyFill="1" applyBorder="1"/>
    <xf numFmtId="3" fontId="1" fillId="24" borderId="13" xfId="44" applyNumberFormat="1" applyFill="1" applyBorder="1"/>
    <xf numFmtId="165" fontId="1" fillId="24" borderId="0" xfId="44" applyNumberFormat="1" applyFill="1" applyAlignment="1">
      <alignment horizontal="center"/>
    </xf>
    <xf numFmtId="6" fontId="1" fillId="24" borderId="14" xfId="44" applyNumberFormat="1" applyFill="1" applyBorder="1"/>
    <xf numFmtId="164" fontId="1" fillId="24" borderId="0" xfId="44" applyNumberFormat="1" applyFill="1"/>
    <xf numFmtId="165" fontId="0" fillId="24" borderId="0" xfId="40" applyNumberFormat="1" applyFont="1" applyFill="1" applyBorder="1" applyAlignment="1">
      <alignment horizontal="center"/>
    </xf>
    <xf numFmtId="6" fontId="1" fillId="24" borderId="0" xfId="44" applyNumberFormat="1" applyFill="1"/>
    <xf numFmtId="164" fontId="1" fillId="24" borderId="13" xfId="44" applyNumberFormat="1" applyFill="1" applyBorder="1"/>
    <xf numFmtId="165" fontId="1" fillId="0" borderId="0" xfId="44" applyNumberFormat="1"/>
    <xf numFmtId="6" fontId="1" fillId="0" borderId="0" xfId="44" applyNumberFormat="1"/>
    <xf numFmtId="9" fontId="21" fillId="27" borderId="0" xfId="44" applyNumberFormat="1" applyFont="1" applyFill="1" applyAlignment="1">
      <alignment horizontal="center"/>
    </xf>
    <xf numFmtId="3" fontId="1" fillId="24" borderId="0" xfId="44" applyNumberFormat="1" applyFill="1"/>
    <xf numFmtId="0" fontId="1" fillId="24" borderId="14" xfId="44" applyFill="1" applyBorder="1"/>
    <xf numFmtId="164" fontId="0" fillId="24" borderId="0" xfId="28" applyNumberFormat="1" applyFont="1" applyFill="1" applyBorder="1"/>
    <xf numFmtId="9" fontId="0" fillId="0" borderId="0" xfId="40" applyFont="1"/>
    <xf numFmtId="0" fontId="21" fillId="27" borderId="0" xfId="44" applyFont="1" applyFill="1" applyAlignment="1">
      <alignment horizontal="center"/>
    </xf>
    <xf numFmtId="9" fontId="0" fillId="24" borderId="0" xfId="40" applyFont="1" applyFill="1" applyBorder="1"/>
    <xf numFmtId="164" fontId="0" fillId="24" borderId="13" xfId="28" applyNumberFormat="1" applyFont="1" applyFill="1" applyBorder="1"/>
    <xf numFmtId="0" fontId="1" fillId="24" borderId="13" xfId="44" applyFill="1" applyBorder="1" applyAlignment="1">
      <alignment horizontal="left" indent="1"/>
    </xf>
    <xf numFmtId="0" fontId="1" fillId="24" borderId="0" xfId="44" applyFill="1"/>
    <xf numFmtId="166" fontId="1" fillId="0" borderId="0" xfId="44" applyNumberFormat="1"/>
    <xf numFmtId="43" fontId="0" fillId="0" borderId="0" xfId="28" applyFont="1"/>
    <xf numFmtId="0" fontId="1" fillId="24" borderId="15" xfId="44" applyFill="1" applyBorder="1"/>
    <xf numFmtId="0" fontId="1" fillId="24" borderId="16" xfId="44" applyFill="1" applyBorder="1"/>
    <xf numFmtId="0" fontId="1" fillId="24" borderId="17" xfId="44" applyFill="1" applyBorder="1"/>
    <xf numFmtId="0" fontId="1" fillId="24" borderId="18" xfId="44" applyFill="1" applyBorder="1"/>
    <xf numFmtId="164" fontId="1" fillId="24" borderId="18" xfId="44" applyNumberFormat="1" applyFill="1" applyBorder="1"/>
    <xf numFmtId="9" fontId="0" fillId="24" borderId="19" xfId="40" applyFont="1" applyFill="1" applyBorder="1" applyAlignment="1">
      <alignment horizontal="center"/>
    </xf>
    <xf numFmtId="5" fontId="0" fillId="24" borderId="19" xfId="28" applyNumberFormat="1" applyFont="1" applyFill="1" applyBorder="1"/>
    <xf numFmtId="9" fontId="1" fillId="24" borderId="19" xfId="44" applyNumberFormat="1" applyFill="1" applyBorder="1" applyAlignment="1">
      <alignment horizontal="center"/>
    </xf>
    <xf numFmtId="6" fontId="1" fillId="24" borderId="19" xfId="44" applyNumberFormat="1" applyFill="1" applyBorder="1"/>
    <xf numFmtId="6" fontId="1" fillId="24" borderId="20" xfId="44" applyNumberFormat="1" applyFill="1" applyBorder="1"/>
    <xf numFmtId="167" fontId="1" fillId="0" borderId="0" xfId="44" applyNumberFormat="1"/>
    <xf numFmtId="9" fontId="1" fillId="0" borderId="0" xfId="44" applyNumberFormat="1"/>
    <xf numFmtId="164" fontId="1" fillId="0" borderId="0" xfId="44" applyNumberFormat="1"/>
    <xf numFmtId="8" fontId="1" fillId="0" borderId="0" xfId="44" applyNumberFormat="1"/>
    <xf numFmtId="164" fontId="0" fillId="0" borderId="0" xfId="28" applyNumberFormat="1" applyFont="1"/>
    <xf numFmtId="168" fontId="1" fillId="0" borderId="0" xfId="44" applyNumberFormat="1"/>
    <xf numFmtId="165" fontId="0" fillId="0" borderId="0" xfId="40" applyNumberFormat="1" applyFont="1"/>
    <xf numFmtId="169" fontId="1" fillId="0" borderId="0" xfId="44" applyNumberFormat="1"/>
    <xf numFmtId="0" fontId="17" fillId="25" borderId="10" xfId="44" applyFont="1" applyFill="1" applyBorder="1" applyAlignment="1">
      <alignment horizontal="center"/>
    </xf>
    <xf numFmtId="0" fontId="17" fillId="25" borderId="11" xfId="44" applyFont="1" applyFill="1" applyBorder="1" applyAlignment="1">
      <alignment horizontal="center"/>
    </xf>
    <xf numFmtId="0" fontId="17" fillId="25" borderId="12" xfId="44" applyFont="1" applyFill="1" applyBorder="1" applyAlignment="1">
      <alignment horizontal="center"/>
    </xf>
    <xf numFmtId="17" fontId="17" fillId="25" borderId="13" xfId="44" quotePrefix="1" applyNumberFormat="1" applyFont="1" applyFill="1" applyBorder="1" applyAlignment="1">
      <alignment horizontal="center"/>
    </xf>
    <xf numFmtId="17" fontId="17" fillId="25" borderId="0" xfId="44" applyNumberFormat="1" applyFont="1" applyFill="1" applyAlignment="1">
      <alignment horizontal="center"/>
    </xf>
    <xf numFmtId="17" fontId="17" fillId="25" borderId="14" xfId="44" applyNumberFormat="1" applyFont="1" applyFill="1" applyBorder="1" applyAlignment="1">
      <alignment horizontal="center"/>
    </xf>
    <xf numFmtId="6" fontId="1" fillId="24" borderId="10" xfId="44" applyNumberFormat="1" applyFill="1" applyBorder="1" applyAlignment="1">
      <alignment horizontal="center"/>
    </xf>
    <xf numFmtId="6" fontId="1" fillId="24" borderId="11" xfId="44" applyNumberFormat="1" applyFill="1" applyBorder="1" applyAlignment="1">
      <alignment horizontal="center"/>
    </xf>
    <xf numFmtId="6" fontId="1" fillId="0" borderId="10" xfId="44" applyNumberFormat="1" applyBorder="1" applyAlignment="1">
      <alignment horizontal="center"/>
    </xf>
    <xf numFmtId="6" fontId="1" fillId="0" borderId="11" xfId="44" applyNumberFormat="1" applyBorder="1" applyAlignment="1">
      <alignment horizontal="center"/>
    </xf>
    <xf numFmtId="6" fontId="1" fillId="0" borderId="12" xfId="44" applyNumberFormat="1" applyBorder="1" applyAlignment="1">
      <alignment horizontal="center"/>
    </xf>
    <xf numFmtId="6" fontId="1" fillId="24" borderId="15" xfId="44" applyNumberFormat="1" applyFill="1" applyBorder="1" applyAlignment="1">
      <alignment horizontal="center"/>
    </xf>
    <xf numFmtId="6" fontId="1" fillId="24" borderId="16" xfId="44" applyNumberFormat="1" applyFill="1" applyBorder="1" applyAlignment="1">
      <alignment horizontal="center"/>
    </xf>
    <xf numFmtId="6" fontId="1" fillId="24" borderId="17" xfId="44" applyNumberFormat="1" applyFill="1" applyBorder="1" applyAlignment="1">
      <alignment horizontal="center"/>
    </xf>
    <xf numFmtId="8" fontId="17" fillId="25" borderId="15" xfId="0" applyNumberFormat="1" applyFont="1" applyFill="1" applyBorder="1" applyAlignment="1">
      <alignment horizontal="center"/>
    </xf>
    <xf numFmtId="8" fontId="17" fillId="25" borderId="16" xfId="0" applyNumberFormat="1" applyFont="1" applyFill="1" applyBorder="1" applyAlignment="1">
      <alignment horizontal="center"/>
    </xf>
    <xf numFmtId="8" fontId="17" fillId="25" borderId="17" xfId="0" applyNumberFormat="1" applyFont="1" applyFill="1" applyBorder="1" applyAlignment="1">
      <alignment horizontal="center"/>
    </xf>
    <xf numFmtId="8" fontId="17" fillId="28" borderId="15" xfId="0" applyNumberFormat="1" applyFont="1" applyFill="1" applyBorder="1" applyAlignment="1">
      <alignment horizontal="center"/>
    </xf>
    <xf numFmtId="8" fontId="17" fillId="28" borderId="16" xfId="0" applyNumberFormat="1" applyFont="1" applyFill="1" applyBorder="1" applyAlignment="1">
      <alignment horizontal="center"/>
    </xf>
    <xf numFmtId="8" fontId="17" fillId="28" borderId="17" xfId="0" applyNumberFormat="1" applyFont="1" applyFill="1" applyBorder="1" applyAlignment="1">
      <alignment horizontal="center"/>
    </xf>
    <xf numFmtId="8" fontId="17" fillId="31" borderId="15" xfId="0" applyNumberFormat="1" applyFont="1" applyFill="1" applyBorder="1" applyAlignment="1">
      <alignment horizontal="center"/>
    </xf>
    <xf numFmtId="8" fontId="17" fillId="31" borderId="16" xfId="0" applyNumberFormat="1" applyFont="1" applyFill="1" applyBorder="1" applyAlignment="1">
      <alignment horizontal="center"/>
    </xf>
    <xf numFmtId="8" fontId="17" fillId="31" borderId="17" xfId="0" applyNumberFormat="1" applyFont="1" applyFill="1" applyBorder="1" applyAlignment="1">
      <alignment horizontal="center"/>
    </xf>
    <xf numFmtId="6" fontId="0" fillId="24" borderId="10" xfId="0" applyNumberFormat="1" applyFill="1" applyBorder="1" applyAlignment="1">
      <alignment horizontal="center"/>
    </xf>
    <xf numFmtId="6" fontId="0" fillId="24" borderId="11" xfId="0" applyNumberFormat="1" applyFill="1" applyBorder="1" applyAlignment="1">
      <alignment horizontal="center"/>
    </xf>
    <xf numFmtId="6" fontId="0" fillId="0" borderId="10" xfId="0" applyNumberFormat="1" applyBorder="1" applyAlignment="1">
      <alignment horizontal="center"/>
    </xf>
    <xf numFmtId="6" fontId="0" fillId="0" borderId="11" xfId="0" applyNumberFormat="1" applyBorder="1" applyAlignment="1">
      <alignment horizontal="center"/>
    </xf>
    <xf numFmtId="6" fontId="0" fillId="0" borderId="12" xfId="0" applyNumberFormat="1" applyBorder="1" applyAlignment="1">
      <alignment horizontal="center"/>
    </xf>
    <xf numFmtId="6" fontId="0" fillId="31" borderId="10" xfId="0" applyNumberFormat="1" applyFill="1" applyBorder="1" applyAlignment="1">
      <alignment horizontal="center"/>
    </xf>
    <xf numFmtId="6" fontId="0" fillId="31" borderId="11" xfId="0" applyNumberFormat="1" applyFill="1" applyBorder="1" applyAlignment="1">
      <alignment horizontal="center"/>
    </xf>
    <xf numFmtId="6" fontId="0" fillId="31" borderId="12" xfId="0" applyNumberFormat="1" applyFill="1" applyBorder="1" applyAlignment="1">
      <alignment horizontal="center"/>
    </xf>
    <xf numFmtId="0" fontId="17" fillId="25" borderId="10" xfId="0" applyFont="1" applyFill="1" applyBorder="1" applyAlignment="1">
      <alignment horizontal="center"/>
    </xf>
    <xf numFmtId="0" fontId="17" fillId="25" borderId="11" xfId="0" applyFont="1" applyFill="1" applyBorder="1" applyAlignment="1">
      <alignment horizontal="center"/>
    </xf>
    <xf numFmtId="0" fontId="17" fillId="25" borderId="12" xfId="0" applyFont="1" applyFill="1" applyBorder="1" applyAlignment="1">
      <alignment horizontal="center"/>
    </xf>
    <xf numFmtId="6" fontId="0" fillId="24" borderId="15" xfId="0" applyNumberFormat="1" applyFill="1" applyBorder="1" applyAlignment="1">
      <alignment horizontal="center"/>
    </xf>
    <xf numFmtId="6" fontId="0" fillId="24" borderId="16" xfId="0" applyNumberFormat="1" applyFill="1" applyBorder="1" applyAlignment="1">
      <alignment horizontal="center"/>
    </xf>
    <xf numFmtId="6" fontId="0" fillId="24" borderId="17" xfId="0" applyNumberFormat="1" applyFill="1" applyBorder="1" applyAlignment="1">
      <alignment horizontal="center"/>
    </xf>
    <xf numFmtId="6" fontId="0" fillId="31" borderId="15" xfId="0" applyNumberFormat="1" applyFill="1" applyBorder="1" applyAlignment="1">
      <alignment horizontal="center"/>
    </xf>
    <xf numFmtId="6" fontId="0" fillId="31" borderId="16" xfId="0" applyNumberFormat="1" applyFill="1" applyBorder="1" applyAlignment="1">
      <alignment horizontal="center"/>
    </xf>
    <xf numFmtId="6" fontId="0" fillId="31" borderId="17" xfId="0" applyNumberFormat="1" applyFill="1" applyBorder="1" applyAlignment="1">
      <alignment horizontal="center"/>
    </xf>
    <xf numFmtId="17" fontId="17" fillId="25" borderId="13" xfId="0" quotePrefix="1" applyNumberFormat="1" applyFont="1" applyFill="1" applyBorder="1" applyAlignment="1">
      <alignment horizontal="center"/>
    </xf>
    <xf numFmtId="17" fontId="17" fillId="25" borderId="0" xfId="0" applyNumberFormat="1" applyFont="1" applyFill="1" applyAlignment="1">
      <alignment horizontal="center"/>
    </xf>
    <xf numFmtId="17" fontId="17" fillId="25" borderId="14" xfId="0" applyNumberFormat="1" applyFont="1" applyFill="1" applyBorder="1" applyAlignment="1">
      <alignment horizontal="center"/>
    </xf>
    <xf numFmtId="0" fontId="17" fillId="26" borderId="10" xfId="0" applyFont="1" applyFill="1" applyBorder="1" applyAlignment="1">
      <alignment horizontal="center"/>
    </xf>
    <xf numFmtId="0" fontId="17" fillId="26" borderId="11" xfId="0" applyFont="1" applyFill="1" applyBorder="1" applyAlignment="1">
      <alignment horizontal="center"/>
    </xf>
    <xf numFmtId="0" fontId="17" fillId="26" borderId="12" xfId="0" applyFont="1" applyFill="1" applyBorder="1" applyAlignment="1">
      <alignment horizontal="center"/>
    </xf>
    <xf numFmtId="17" fontId="17" fillId="26" borderId="13" xfId="0" quotePrefix="1" applyNumberFormat="1" applyFont="1" applyFill="1" applyBorder="1" applyAlignment="1">
      <alignment horizontal="center"/>
    </xf>
    <xf numFmtId="17" fontId="17" fillId="26" borderId="0" xfId="0" applyNumberFormat="1" applyFont="1" applyFill="1" applyAlignment="1">
      <alignment horizontal="center"/>
    </xf>
    <xf numFmtId="17" fontId="17" fillId="26" borderId="14" xfId="0" applyNumberFormat="1" applyFont="1" applyFill="1" applyBorder="1" applyAlignment="1">
      <alignment horizontal="center"/>
    </xf>
    <xf numFmtId="8" fontId="17" fillId="26" borderId="15" xfId="0" applyNumberFormat="1" applyFont="1" applyFill="1" applyBorder="1" applyAlignment="1">
      <alignment horizontal="center"/>
    </xf>
    <xf numFmtId="8" fontId="17" fillId="26" borderId="16" xfId="0" applyNumberFormat="1" applyFont="1" applyFill="1" applyBorder="1" applyAlignment="1">
      <alignment horizontal="center"/>
    </xf>
    <xf numFmtId="8" fontId="17" fillId="26" borderId="17" xfId="0" applyNumberFormat="1" applyFont="1" applyFill="1" applyBorder="1" applyAlignment="1">
      <alignment horizontal="center"/>
    </xf>
    <xf numFmtId="0" fontId="17" fillId="0" borderId="0" xfId="0" applyFont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4" xr:uid="{00000000-0005-0000-0000-000026000000}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16704-XLS-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yright page"/>
      <sheetName val="Investment Memo Cap Table"/>
      <sheetName val="test"/>
      <sheetName val="New CapTable - No PTP, No warra"/>
      <sheetName val="New Cap Table, with warrants"/>
      <sheetName val="New Cap Table, with PTP,warrant"/>
      <sheetName val="IRRs"/>
      <sheetName val="IRRs_extra"/>
    </sheetNames>
    <sheetDataSet>
      <sheetData sheetId="0" refreshError="1"/>
      <sheetData sheetId="1">
        <row r="17">
          <cell r="I17">
            <v>0.05</v>
          </cell>
        </row>
        <row r="18">
          <cell r="I18">
            <v>0.05</v>
          </cell>
        </row>
        <row r="19">
          <cell r="I19">
            <v>3.3333333333333333E-2</v>
          </cell>
        </row>
        <row r="20">
          <cell r="I20">
            <v>0.2</v>
          </cell>
        </row>
        <row r="22">
          <cell r="L22">
            <v>1.7857142857142856E-2</v>
          </cell>
        </row>
        <row r="23">
          <cell r="L23">
            <v>1.7857142857142856E-2</v>
          </cell>
        </row>
        <row r="24">
          <cell r="L24">
            <v>1.1904761904761906E-2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24A46-7714-4F62-8279-1A248A7C19ED}">
  <dimension ref="A2:B17"/>
  <sheetViews>
    <sheetView tabSelected="1" workbookViewId="0"/>
  </sheetViews>
  <sheetFormatPr defaultRowHeight="14.4" x14ac:dyDescent="0.3"/>
  <cols>
    <col min="1" max="1" width="16.77734375" bestFit="1" customWidth="1"/>
  </cols>
  <sheetData>
    <row r="2" spans="1:2" x14ac:dyDescent="0.3">
      <c r="A2" s="207" t="s">
        <v>43</v>
      </c>
    </row>
    <row r="3" spans="1:2" x14ac:dyDescent="0.3">
      <c r="A3" t="s">
        <v>44</v>
      </c>
      <c r="B3">
        <v>175</v>
      </c>
    </row>
    <row r="4" spans="1:2" x14ac:dyDescent="0.3">
      <c r="A4" t="s">
        <v>45</v>
      </c>
      <c r="B4">
        <v>50</v>
      </c>
    </row>
    <row r="5" spans="1:2" x14ac:dyDescent="0.3">
      <c r="A5" t="s">
        <v>46</v>
      </c>
      <c r="B5">
        <v>25</v>
      </c>
    </row>
    <row r="6" spans="1:2" x14ac:dyDescent="0.3">
      <c r="A6" t="s">
        <v>47</v>
      </c>
      <c r="B6">
        <v>19.5</v>
      </c>
    </row>
    <row r="7" spans="1:2" x14ac:dyDescent="0.3">
      <c r="A7" t="s">
        <v>48</v>
      </c>
      <c r="B7">
        <v>5</v>
      </c>
    </row>
    <row r="8" spans="1:2" x14ac:dyDescent="0.3">
      <c r="B8" s="33"/>
    </row>
    <row r="9" spans="1:2" x14ac:dyDescent="0.3">
      <c r="A9" t="s">
        <v>49</v>
      </c>
      <c r="B9" s="33">
        <f>(B4+B5)/B3</f>
        <v>0.42857142857142855</v>
      </c>
    </row>
    <row r="10" spans="1:2" x14ac:dyDescent="0.3">
      <c r="A10" t="s">
        <v>50</v>
      </c>
      <c r="B10" s="33">
        <f>(B6+B7)/B4</f>
        <v>0.49</v>
      </c>
    </row>
    <row r="12" spans="1:2" x14ac:dyDescent="0.3">
      <c r="A12" s="207" t="s">
        <v>51</v>
      </c>
    </row>
    <row r="13" spans="1:2" x14ac:dyDescent="0.3">
      <c r="A13" t="s">
        <v>44</v>
      </c>
      <c r="B13">
        <f>B3</f>
        <v>175</v>
      </c>
    </row>
    <row r="14" spans="1:2" x14ac:dyDescent="0.3">
      <c r="A14" t="s">
        <v>46</v>
      </c>
      <c r="B14">
        <f>B5+B7</f>
        <v>30</v>
      </c>
    </row>
    <row r="15" spans="1:2" x14ac:dyDescent="0.3">
      <c r="A15" t="s">
        <v>52</v>
      </c>
      <c r="B15">
        <f>B9*B10*B13-B14</f>
        <v>6.75</v>
      </c>
    </row>
    <row r="17" spans="1:2" x14ac:dyDescent="0.3">
      <c r="A17" s="207" t="s">
        <v>53</v>
      </c>
      <c r="B17">
        <f>B6-B15</f>
        <v>12.75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9"/>
  <sheetViews>
    <sheetView showGridLines="0" zoomScale="90" zoomScaleNormal="90" workbookViewId="0">
      <pane xSplit="1" ySplit="5" topLeftCell="B6" activePane="bottomRight" state="frozen"/>
      <selection activeCell="F7" sqref="F7"/>
      <selection pane="topRight" activeCell="F7" sqref="F7"/>
      <selection pane="bottomLeft" activeCell="F7" sqref="F7"/>
      <selection pane="bottomRight" activeCell="E4" sqref="E4:G4"/>
    </sheetView>
  </sheetViews>
  <sheetFormatPr defaultColWidth="9.21875" defaultRowHeight="14.4" x14ac:dyDescent="0.3"/>
  <cols>
    <col min="1" max="1" width="25.44140625" style="93" customWidth="1"/>
    <col min="2" max="2" width="12.5546875" style="93" customWidth="1"/>
    <col min="3" max="3" width="11.21875" style="93" customWidth="1"/>
    <col min="4" max="4" width="12.21875" style="93" customWidth="1"/>
    <col min="5" max="5" width="13.77734375" style="93" customWidth="1"/>
    <col min="6" max="6" width="10.5546875" style="93" customWidth="1"/>
    <col min="7" max="8" width="13.44140625" style="93" customWidth="1"/>
    <col min="9" max="9" width="11" style="93" customWidth="1"/>
    <col min="10" max="10" width="14.77734375" style="93" customWidth="1"/>
    <col min="11" max="11" width="13" style="93" customWidth="1"/>
    <col min="12" max="12" width="11.77734375" style="93" customWidth="1"/>
    <col min="13" max="13" width="15.44140625" style="93" customWidth="1"/>
    <col min="14" max="14" width="9.21875" style="93"/>
    <col min="15" max="15" width="10.21875" style="93" bestFit="1" customWidth="1"/>
    <col min="16" max="16" width="11.21875" style="93" bestFit="1" customWidth="1"/>
    <col min="17" max="17" width="9.21875" style="93"/>
    <col min="18" max="18" width="11.5546875" style="93" bestFit="1" customWidth="1"/>
    <col min="19" max="16384" width="9.21875" style="93"/>
  </cols>
  <sheetData>
    <row r="1" spans="1:18" x14ac:dyDescent="0.3">
      <c r="A1" s="92" t="s">
        <v>0</v>
      </c>
      <c r="B1" s="155" t="s">
        <v>1</v>
      </c>
      <c r="C1" s="156"/>
      <c r="D1" s="157"/>
      <c r="E1" s="156" t="s">
        <v>2</v>
      </c>
      <c r="F1" s="156"/>
      <c r="G1" s="156"/>
      <c r="H1" s="155" t="s">
        <v>4</v>
      </c>
      <c r="I1" s="156"/>
      <c r="J1" s="157"/>
      <c r="K1" s="155" t="s">
        <v>5</v>
      </c>
      <c r="L1" s="156"/>
      <c r="M1" s="157"/>
    </row>
    <row r="2" spans="1:18" x14ac:dyDescent="0.3">
      <c r="A2" s="94" t="s">
        <v>7</v>
      </c>
      <c r="B2" s="158" t="s">
        <v>8</v>
      </c>
      <c r="C2" s="159"/>
      <c r="D2" s="160"/>
      <c r="E2" s="158" t="s">
        <v>9</v>
      </c>
      <c r="F2" s="159"/>
      <c r="G2" s="159"/>
      <c r="H2" s="158" t="s">
        <v>41</v>
      </c>
      <c r="I2" s="159"/>
      <c r="J2" s="160"/>
      <c r="K2" s="158" t="s">
        <v>42</v>
      </c>
      <c r="L2" s="159"/>
      <c r="M2" s="160"/>
    </row>
    <row r="3" spans="1:18" x14ac:dyDescent="0.3">
      <c r="A3" s="95" t="s">
        <v>15</v>
      </c>
      <c r="B3" s="161">
        <v>5000000</v>
      </c>
      <c r="C3" s="162"/>
      <c r="D3" s="162"/>
      <c r="E3" s="163">
        <v>13500000</v>
      </c>
      <c r="F3" s="164"/>
      <c r="G3" s="165"/>
      <c r="H3" s="163">
        <v>50000000</v>
      </c>
      <c r="I3" s="164"/>
      <c r="J3" s="165"/>
      <c r="K3" s="163">
        <v>175000000</v>
      </c>
      <c r="L3" s="164"/>
      <c r="M3" s="165"/>
    </row>
    <row r="4" spans="1:18" x14ac:dyDescent="0.3">
      <c r="A4" s="95" t="s">
        <v>16</v>
      </c>
      <c r="B4" s="166">
        <v>9000000</v>
      </c>
      <c r="C4" s="167"/>
      <c r="D4" s="167"/>
      <c r="E4" s="166">
        <v>19500000</v>
      </c>
      <c r="F4" s="167"/>
      <c r="G4" s="168"/>
      <c r="H4" s="167">
        <v>75000000</v>
      </c>
      <c r="I4" s="167"/>
      <c r="J4" s="167"/>
      <c r="K4" s="166">
        <v>210000000</v>
      </c>
      <c r="L4" s="167"/>
      <c r="M4" s="168"/>
    </row>
    <row r="5" spans="1:18" s="100" customFormat="1" ht="28.8" x14ac:dyDescent="0.3">
      <c r="A5" s="96"/>
      <c r="B5" s="97" t="s">
        <v>17</v>
      </c>
      <c r="C5" s="98" t="s">
        <v>18</v>
      </c>
      <c r="D5" s="99" t="s">
        <v>19</v>
      </c>
      <c r="E5" s="98" t="s">
        <v>17</v>
      </c>
      <c r="F5" s="98" t="s">
        <v>18</v>
      </c>
      <c r="G5" s="98" t="s">
        <v>19</v>
      </c>
      <c r="H5" s="97" t="s">
        <v>17</v>
      </c>
      <c r="I5" s="98" t="s">
        <v>18</v>
      </c>
      <c r="J5" s="99" t="s">
        <v>19</v>
      </c>
      <c r="K5" s="97" t="s">
        <v>17</v>
      </c>
      <c r="L5" s="98" t="s">
        <v>18</v>
      </c>
      <c r="M5" s="99" t="s">
        <v>19</v>
      </c>
    </row>
    <row r="6" spans="1:18" ht="28.8" x14ac:dyDescent="0.3">
      <c r="A6" s="96" t="s">
        <v>24</v>
      </c>
      <c r="B6" s="101">
        <v>5000000</v>
      </c>
      <c r="C6" s="102">
        <v>0.55555555555555558</v>
      </c>
      <c r="D6" s="103">
        <v>5000000</v>
      </c>
      <c r="E6" s="104">
        <v>5000000</v>
      </c>
      <c r="F6" s="105">
        <v>0.38461538461538464</v>
      </c>
      <c r="G6" s="106">
        <v>7500000</v>
      </c>
      <c r="H6" s="107">
        <v>5000000</v>
      </c>
      <c r="I6" s="105">
        <v>0.25641025641025639</v>
      </c>
      <c r="J6" s="103">
        <v>19230769.230769232</v>
      </c>
      <c r="K6" s="107">
        <v>5000000</v>
      </c>
      <c r="L6" s="105">
        <v>0.21367521367521367</v>
      </c>
      <c r="M6" s="103">
        <v>44871794.871794872</v>
      </c>
      <c r="N6" s="108"/>
    </row>
    <row r="7" spans="1:18" x14ac:dyDescent="0.3">
      <c r="A7" s="109" t="s">
        <v>25</v>
      </c>
      <c r="B7" s="109"/>
      <c r="C7" s="110"/>
      <c r="D7" s="111"/>
      <c r="E7" s="112"/>
      <c r="F7" s="110"/>
      <c r="G7" s="112"/>
      <c r="H7" s="113"/>
      <c r="I7" s="110"/>
      <c r="J7" s="111"/>
      <c r="K7" s="113"/>
      <c r="L7" s="110"/>
      <c r="M7" s="114"/>
    </row>
    <row r="8" spans="1:18" x14ac:dyDescent="0.3">
      <c r="A8" s="115" t="s">
        <v>26</v>
      </c>
      <c r="B8" s="116">
        <v>1500000</v>
      </c>
      <c r="C8" s="117">
        <v>0.16666666666666666</v>
      </c>
      <c r="D8" s="118">
        <v>1500000</v>
      </c>
      <c r="E8" s="119">
        <v>1500000</v>
      </c>
      <c r="F8" s="120">
        <v>0.11538461538461539</v>
      </c>
      <c r="G8" s="121">
        <v>2250000</v>
      </c>
      <c r="H8" s="122">
        <v>1500000</v>
      </c>
      <c r="I8" s="120">
        <v>7.6923076923076927E-2</v>
      </c>
      <c r="J8" s="118">
        <v>5769230.769230769</v>
      </c>
      <c r="K8" s="122">
        <v>1500000</v>
      </c>
      <c r="L8" s="120">
        <v>6.4102564102564097E-2</v>
      </c>
      <c r="M8" s="118">
        <v>13461538.461538462</v>
      </c>
      <c r="O8" s="123"/>
      <c r="P8" s="123"/>
    </row>
    <row r="9" spans="1:18" x14ac:dyDescent="0.3">
      <c r="A9" s="115" t="s">
        <v>27</v>
      </c>
      <c r="B9" s="116">
        <v>1500000</v>
      </c>
      <c r="C9" s="117">
        <v>0.16666666666666666</v>
      </c>
      <c r="D9" s="118">
        <v>1500000</v>
      </c>
      <c r="E9" s="119">
        <v>1500000</v>
      </c>
      <c r="F9" s="120">
        <v>0.11538461538461539</v>
      </c>
      <c r="G9" s="121">
        <v>2250000</v>
      </c>
      <c r="H9" s="122">
        <v>1500000</v>
      </c>
      <c r="I9" s="120">
        <v>7.6923076923076927E-2</v>
      </c>
      <c r="J9" s="118">
        <v>5769230.769230769</v>
      </c>
      <c r="K9" s="122">
        <v>1500000</v>
      </c>
      <c r="L9" s="120">
        <v>6.4102564102564097E-2</v>
      </c>
      <c r="M9" s="118">
        <v>13461538.461538462</v>
      </c>
      <c r="P9" s="123"/>
      <c r="R9" s="124"/>
    </row>
    <row r="10" spans="1:18" x14ac:dyDescent="0.3">
      <c r="A10" s="115" t="s">
        <v>28</v>
      </c>
      <c r="B10" s="116">
        <v>1000000</v>
      </c>
      <c r="C10" s="117">
        <v>0.1111111111111111</v>
      </c>
      <c r="D10" s="118">
        <v>1000000</v>
      </c>
      <c r="E10" s="119">
        <v>1000000</v>
      </c>
      <c r="F10" s="120">
        <v>7.6923076923076927E-2</v>
      </c>
      <c r="G10" s="121">
        <v>1500000</v>
      </c>
      <c r="H10" s="122">
        <v>1000000</v>
      </c>
      <c r="I10" s="120">
        <v>5.128205128205128E-2</v>
      </c>
      <c r="J10" s="118">
        <v>3846153.8461538465</v>
      </c>
      <c r="K10" s="122">
        <v>1000000</v>
      </c>
      <c r="L10" s="120">
        <v>4.2735042735042736E-2</v>
      </c>
      <c r="M10" s="118">
        <v>8974358.974358974</v>
      </c>
      <c r="P10" s="123"/>
    </row>
    <row r="11" spans="1:18" x14ac:dyDescent="0.3">
      <c r="A11" s="109" t="s">
        <v>29</v>
      </c>
      <c r="B11" s="109"/>
      <c r="C11" s="125"/>
      <c r="D11" s="111"/>
      <c r="E11" s="112"/>
      <c r="F11" s="110"/>
      <c r="G11" s="112"/>
      <c r="H11" s="113"/>
      <c r="I11" s="110"/>
      <c r="J11" s="111"/>
      <c r="K11" s="113"/>
      <c r="L11" s="110"/>
      <c r="M11" s="114"/>
    </row>
    <row r="12" spans="1:18" x14ac:dyDescent="0.3">
      <c r="A12" s="115" t="s">
        <v>26</v>
      </c>
      <c r="B12" s="116"/>
      <c r="C12" s="126"/>
      <c r="D12" s="127"/>
      <c r="E12" s="128">
        <v>1500000</v>
      </c>
      <c r="F12" s="120">
        <v>0.11538461538461539</v>
      </c>
      <c r="G12" s="121">
        <v>2250000</v>
      </c>
      <c r="H12" s="122">
        <v>1500000</v>
      </c>
      <c r="I12" s="120">
        <v>7.6923076923076927E-2</v>
      </c>
      <c r="J12" s="118">
        <v>5769230.769230769</v>
      </c>
      <c r="K12" s="122">
        <v>1500000</v>
      </c>
      <c r="L12" s="120">
        <v>6.4102564102564097E-2</v>
      </c>
      <c r="M12" s="118">
        <v>13461538.461538462</v>
      </c>
      <c r="N12" s="129"/>
      <c r="P12" s="123"/>
    </row>
    <row r="13" spans="1:18" x14ac:dyDescent="0.3">
      <c r="A13" s="115" t="s">
        <v>27</v>
      </c>
      <c r="B13" s="116"/>
      <c r="C13" s="126"/>
      <c r="D13" s="127"/>
      <c r="E13" s="128">
        <v>1500000</v>
      </c>
      <c r="F13" s="120">
        <v>0.11538461538461539</v>
      </c>
      <c r="G13" s="121">
        <v>2250000</v>
      </c>
      <c r="H13" s="122">
        <v>1500000</v>
      </c>
      <c r="I13" s="120">
        <v>7.6923076923076927E-2</v>
      </c>
      <c r="J13" s="118">
        <v>5769230.769230769</v>
      </c>
      <c r="K13" s="122">
        <v>1500000</v>
      </c>
      <c r="L13" s="120">
        <v>6.4102564102564097E-2</v>
      </c>
      <c r="M13" s="118">
        <v>13461538.461538462</v>
      </c>
      <c r="P13" s="123"/>
    </row>
    <row r="14" spans="1:18" x14ac:dyDescent="0.3">
      <c r="A14" s="115" t="s">
        <v>28</v>
      </c>
      <c r="B14" s="116"/>
      <c r="C14" s="126"/>
      <c r="D14" s="127"/>
      <c r="E14" s="128">
        <v>1000000</v>
      </c>
      <c r="F14" s="120">
        <v>7.6923076923076927E-2</v>
      </c>
      <c r="G14" s="121">
        <v>1500000</v>
      </c>
      <c r="H14" s="122">
        <v>1000000</v>
      </c>
      <c r="I14" s="120">
        <v>5.128205128205128E-2</v>
      </c>
      <c r="J14" s="118">
        <v>3846153.8461538465</v>
      </c>
      <c r="K14" s="122">
        <v>1000000</v>
      </c>
      <c r="L14" s="120">
        <v>4.2735042735042736E-2</v>
      </c>
      <c r="M14" s="118">
        <v>8974358.974358974</v>
      </c>
      <c r="P14" s="123"/>
    </row>
    <row r="15" spans="1:18" x14ac:dyDescent="0.3">
      <c r="A15" s="109" t="s">
        <v>31</v>
      </c>
      <c r="B15" s="109"/>
      <c r="C15" s="125"/>
      <c r="D15" s="111"/>
      <c r="E15" s="112"/>
      <c r="F15" s="130"/>
      <c r="G15" s="112"/>
      <c r="H15" s="113"/>
      <c r="I15" s="110"/>
      <c r="J15" s="111"/>
      <c r="K15" s="113"/>
      <c r="L15" s="110"/>
      <c r="M15" s="114"/>
    </row>
    <row r="16" spans="1:18" x14ac:dyDescent="0.3">
      <c r="A16" s="115" t="s">
        <v>26</v>
      </c>
      <c r="B16" s="116"/>
      <c r="C16" s="126"/>
      <c r="D16" s="127"/>
      <c r="E16" s="128"/>
      <c r="F16" s="131"/>
      <c r="G16" s="121"/>
      <c r="H16" s="132">
        <v>975000</v>
      </c>
      <c r="I16" s="120">
        <v>0.05</v>
      </c>
      <c r="J16" s="118">
        <v>3750000</v>
      </c>
      <c r="K16" s="122">
        <v>975000</v>
      </c>
      <c r="L16" s="120">
        <v>4.1666666666666664E-2</v>
      </c>
      <c r="M16" s="118">
        <v>8750000</v>
      </c>
      <c r="P16" s="123"/>
    </row>
    <row r="17" spans="1:16" x14ac:dyDescent="0.3">
      <c r="A17" s="115" t="s">
        <v>27</v>
      </c>
      <c r="B17" s="116"/>
      <c r="C17" s="126"/>
      <c r="D17" s="127"/>
      <c r="E17" s="128"/>
      <c r="F17" s="131"/>
      <c r="G17" s="121"/>
      <c r="H17" s="132">
        <v>975000</v>
      </c>
      <c r="I17" s="120">
        <v>0.05</v>
      </c>
      <c r="J17" s="118">
        <v>3750000</v>
      </c>
      <c r="K17" s="122">
        <v>975000</v>
      </c>
      <c r="L17" s="120">
        <v>4.1666666666666664E-2</v>
      </c>
      <c r="M17" s="118">
        <v>8750000</v>
      </c>
      <c r="P17" s="123"/>
    </row>
    <row r="18" spans="1:16" x14ac:dyDescent="0.3">
      <c r="A18" s="115" t="s">
        <v>28</v>
      </c>
      <c r="B18" s="116"/>
      <c r="C18" s="126"/>
      <c r="D18" s="127"/>
      <c r="E18" s="128"/>
      <c r="F18" s="131"/>
      <c r="G18" s="121"/>
      <c r="H18" s="132">
        <v>650000</v>
      </c>
      <c r="I18" s="120">
        <v>3.3333333333333333E-2</v>
      </c>
      <c r="J18" s="118">
        <v>2500000</v>
      </c>
      <c r="K18" s="122">
        <v>650000</v>
      </c>
      <c r="L18" s="120">
        <v>2.7777777777777776E-2</v>
      </c>
      <c r="M18" s="118">
        <v>5833333.333333333</v>
      </c>
      <c r="P18" s="123"/>
    </row>
    <row r="19" spans="1:16" x14ac:dyDescent="0.3">
      <c r="A19" s="133" t="s">
        <v>32</v>
      </c>
      <c r="B19" s="116"/>
      <c r="C19" s="126"/>
      <c r="D19" s="127"/>
      <c r="E19" s="134"/>
      <c r="F19" s="134"/>
      <c r="G19" s="134"/>
      <c r="H19" s="132">
        <v>3900000</v>
      </c>
      <c r="I19" s="120">
        <v>0.2</v>
      </c>
      <c r="J19" s="118">
        <v>15000000</v>
      </c>
      <c r="K19" s="122">
        <v>3900000</v>
      </c>
      <c r="L19" s="120">
        <v>0.16666666666666666</v>
      </c>
      <c r="M19" s="118">
        <v>35000000</v>
      </c>
      <c r="P19" s="123"/>
    </row>
    <row r="20" spans="1:16" x14ac:dyDescent="0.3">
      <c r="A20" s="109" t="s">
        <v>33</v>
      </c>
      <c r="B20" s="109"/>
      <c r="C20" s="125"/>
      <c r="D20" s="111"/>
      <c r="E20" s="112"/>
      <c r="F20" s="130"/>
      <c r="G20" s="112"/>
      <c r="H20" s="113"/>
      <c r="I20" s="130"/>
      <c r="J20" s="111"/>
      <c r="K20" s="113"/>
      <c r="L20" s="110"/>
      <c r="M20" s="114"/>
      <c r="O20" s="135"/>
    </row>
    <row r="21" spans="1:16" x14ac:dyDescent="0.3">
      <c r="A21" s="115" t="s">
        <v>26</v>
      </c>
      <c r="B21" s="116"/>
      <c r="C21" s="126"/>
      <c r="D21" s="127"/>
      <c r="E21" s="134"/>
      <c r="F21" s="134"/>
      <c r="G21" s="134"/>
      <c r="H21" s="132"/>
      <c r="I21" s="131"/>
      <c r="J21" s="118"/>
      <c r="K21" s="132">
        <v>417857.14285714284</v>
      </c>
      <c r="L21" s="120">
        <v>1.7857142857142856E-2</v>
      </c>
      <c r="M21" s="118">
        <v>3750000</v>
      </c>
      <c r="O21" s="135"/>
      <c r="P21" s="123"/>
    </row>
    <row r="22" spans="1:16" x14ac:dyDescent="0.3">
      <c r="A22" s="115" t="s">
        <v>27</v>
      </c>
      <c r="B22" s="116"/>
      <c r="C22" s="126"/>
      <c r="D22" s="127"/>
      <c r="E22" s="134"/>
      <c r="F22" s="134"/>
      <c r="G22" s="134"/>
      <c r="H22" s="132"/>
      <c r="I22" s="131"/>
      <c r="J22" s="118"/>
      <c r="K22" s="132">
        <v>417857.14285714284</v>
      </c>
      <c r="L22" s="120">
        <v>1.7857142857142856E-2</v>
      </c>
      <c r="M22" s="118">
        <v>3750000</v>
      </c>
      <c r="O22" s="135"/>
      <c r="P22" s="123"/>
    </row>
    <row r="23" spans="1:16" x14ac:dyDescent="0.3">
      <c r="A23" s="115" t="s">
        <v>28</v>
      </c>
      <c r="B23" s="116"/>
      <c r="C23" s="126"/>
      <c r="D23" s="127"/>
      <c r="E23" s="134"/>
      <c r="F23" s="134"/>
      <c r="G23" s="134"/>
      <c r="H23" s="132"/>
      <c r="I23" s="131"/>
      <c r="J23" s="118"/>
      <c r="K23" s="132">
        <v>278571.42857142858</v>
      </c>
      <c r="L23" s="120">
        <v>1.1904761904761906E-2</v>
      </c>
      <c r="M23" s="118">
        <v>2500000</v>
      </c>
      <c r="O23" s="135"/>
      <c r="P23" s="123"/>
    </row>
    <row r="24" spans="1:16" x14ac:dyDescent="0.3">
      <c r="A24" s="133" t="s">
        <v>32</v>
      </c>
      <c r="B24" s="116"/>
      <c r="C24" s="126"/>
      <c r="D24" s="127"/>
      <c r="E24" s="134"/>
      <c r="F24" s="134"/>
      <c r="G24" s="134"/>
      <c r="H24" s="132"/>
      <c r="I24" s="131"/>
      <c r="J24" s="118"/>
      <c r="K24" s="132">
        <v>557142.85714285716</v>
      </c>
      <c r="L24" s="120">
        <v>2.3809523809523812E-2</v>
      </c>
      <c r="M24" s="118">
        <v>5000000</v>
      </c>
      <c r="O24" s="136"/>
      <c r="P24" s="123"/>
    </row>
    <row r="25" spans="1:16" x14ac:dyDescent="0.3">
      <c r="A25" s="133" t="s">
        <v>34</v>
      </c>
      <c r="B25" s="116"/>
      <c r="C25" s="126"/>
      <c r="D25" s="127"/>
      <c r="E25" s="134"/>
      <c r="F25" s="134"/>
      <c r="G25" s="134"/>
      <c r="H25" s="132"/>
      <c r="I25" s="131"/>
      <c r="J25" s="118"/>
      <c r="K25" s="132">
        <v>2228571.4285714286</v>
      </c>
      <c r="L25" s="120">
        <v>9.5238095238095247E-2</v>
      </c>
      <c r="M25" s="118">
        <v>20000000</v>
      </c>
      <c r="P25" s="123"/>
    </row>
    <row r="26" spans="1:16" x14ac:dyDescent="0.3">
      <c r="A26" s="115"/>
      <c r="B26" s="137"/>
      <c r="C26" s="138"/>
      <c r="D26" s="139"/>
      <c r="E26" s="134"/>
      <c r="F26" s="134"/>
      <c r="G26" s="134"/>
      <c r="H26" s="137"/>
      <c r="I26" s="138"/>
      <c r="J26" s="139"/>
      <c r="K26" s="137"/>
      <c r="L26" s="138"/>
      <c r="M26" s="139"/>
    </row>
    <row r="27" spans="1:16" x14ac:dyDescent="0.3">
      <c r="A27" s="140" t="s">
        <v>35</v>
      </c>
      <c r="B27" s="141">
        <v>9000000</v>
      </c>
      <c r="C27" s="142">
        <v>1</v>
      </c>
      <c r="D27" s="143">
        <v>9000000</v>
      </c>
      <c r="E27" s="141">
        <v>13000000</v>
      </c>
      <c r="F27" s="144">
        <v>1</v>
      </c>
      <c r="G27" s="145">
        <v>19500000</v>
      </c>
      <c r="H27" s="141">
        <v>19500000</v>
      </c>
      <c r="I27" s="144">
        <v>1.0000000000000002</v>
      </c>
      <c r="J27" s="145">
        <v>75000000</v>
      </c>
      <c r="K27" s="141">
        <v>23400000</v>
      </c>
      <c r="L27" s="144">
        <v>0.99999999999999989</v>
      </c>
      <c r="M27" s="146">
        <v>210000000</v>
      </c>
    </row>
    <row r="28" spans="1:16" x14ac:dyDescent="0.3">
      <c r="M28" s="147"/>
    </row>
    <row r="29" spans="1:16" x14ac:dyDescent="0.3">
      <c r="G29" s="124"/>
      <c r="J29" s="124"/>
      <c r="M29" s="124"/>
    </row>
    <row r="30" spans="1:16" x14ac:dyDescent="0.3">
      <c r="F30" s="148"/>
      <c r="G30" s="124"/>
      <c r="J30" s="124"/>
      <c r="K30" s="149"/>
      <c r="M30" s="149"/>
    </row>
    <row r="31" spans="1:16" x14ac:dyDescent="0.3">
      <c r="B31" s="124"/>
      <c r="C31" s="148"/>
      <c r="D31" s="150"/>
      <c r="E31" s="151"/>
      <c r="F31" s="148"/>
      <c r="G31" s="150"/>
    </row>
    <row r="32" spans="1:16" x14ac:dyDescent="0.3">
      <c r="B32" s="151"/>
      <c r="C32" s="151"/>
      <c r="G32" s="152"/>
    </row>
    <row r="33" spans="2:13" x14ac:dyDescent="0.3">
      <c r="B33" s="151"/>
      <c r="C33" s="151"/>
    </row>
    <row r="34" spans="2:13" x14ac:dyDescent="0.3">
      <c r="B34" s="124"/>
      <c r="C34" s="124"/>
      <c r="D34" s="153"/>
      <c r="M34" s="124"/>
    </row>
    <row r="35" spans="2:13" x14ac:dyDescent="0.3">
      <c r="B35" s="154"/>
      <c r="C35" s="154"/>
      <c r="D35" s="129"/>
    </row>
    <row r="36" spans="2:13" x14ac:dyDescent="0.3">
      <c r="B36" s="135"/>
      <c r="C36" s="135"/>
    </row>
    <row r="37" spans="2:13" x14ac:dyDescent="0.3">
      <c r="D37" s="136"/>
    </row>
    <row r="39" spans="2:13" x14ac:dyDescent="0.3">
      <c r="H39" s="123"/>
    </row>
  </sheetData>
  <mergeCells count="16">
    <mergeCell ref="B3:D3"/>
    <mergeCell ref="E3:G3"/>
    <mergeCell ref="H3:J3"/>
    <mergeCell ref="K3:M3"/>
    <mergeCell ref="B4:D4"/>
    <mergeCell ref="E4:G4"/>
    <mergeCell ref="H4:J4"/>
    <mergeCell ref="K4:M4"/>
    <mergeCell ref="B1:D1"/>
    <mergeCell ref="E1:G1"/>
    <mergeCell ref="H1:J1"/>
    <mergeCell ref="K1:M1"/>
    <mergeCell ref="B2:D2"/>
    <mergeCell ref="E2:G2"/>
    <mergeCell ref="H2:J2"/>
    <mergeCell ref="K2:M2"/>
  </mergeCells>
  <pageMargins left="0.7" right="0.7" top="0.75" bottom="0.75" header="0.3" footer="0.3"/>
  <pageSetup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showGridLines="0" zoomScale="90" zoomScaleNormal="90" workbookViewId="0">
      <pane xSplit="1" ySplit="6" topLeftCell="B7" activePane="bottomRight" state="frozen"/>
      <selection activeCell="F7" sqref="F7"/>
      <selection pane="topRight" activeCell="F7" sqref="F7"/>
      <selection pane="bottomLeft" activeCell="F7" sqref="F7"/>
      <selection pane="bottomRight" activeCell="J11" sqref="J11"/>
    </sheetView>
  </sheetViews>
  <sheetFormatPr defaultRowHeight="14.4" x14ac:dyDescent="0.3"/>
  <cols>
    <col min="1" max="1" width="25.44140625" customWidth="1"/>
    <col min="2" max="2" width="12.5546875" customWidth="1"/>
    <col min="3" max="3" width="11.21875" customWidth="1"/>
    <col min="4" max="4" width="12.21875" customWidth="1"/>
    <col min="5" max="5" width="13.77734375" customWidth="1"/>
    <col min="6" max="6" width="10.5546875" customWidth="1"/>
    <col min="7" max="7" width="13.44140625" customWidth="1"/>
    <col min="8" max="8" width="13.77734375" customWidth="1"/>
    <col min="9" max="9" width="10.5546875" customWidth="1"/>
    <col min="10" max="11" width="13.44140625" customWidth="1"/>
    <col min="12" max="12" width="11" customWidth="1"/>
    <col min="13" max="13" width="14.77734375" customWidth="1"/>
    <col min="14" max="14" width="13" customWidth="1"/>
    <col min="15" max="15" width="11.77734375" customWidth="1"/>
    <col min="16" max="16" width="15.44140625" customWidth="1"/>
    <col min="18" max="19" width="15.5546875" bestFit="1" customWidth="1"/>
    <col min="20" max="22" width="17.21875" customWidth="1"/>
  </cols>
  <sheetData>
    <row r="1" spans="1:22" x14ac:dyDescent="0.3">
      <c r="A1" s="1" t="s">
        <v>0</v>
      </c>
      <c r="B1" s="186" t="s">
        <v>1</v>
      </c>
      <c r="C1" s="187"/>
      <c r="D1" s="188"/>
      <c r="E1" s="187" t="s">
        <v>2</v>
      </c>
      <c r="F1" s="187"/>
      <c r="G1" s="187"/>
      <c r="H1" s="186" t="s">
        <v>3</v>
      </c>
      <c r="I1" s="187"/>
      <c r="J1" s="188"/>
      <c r="K1" s="186" t="s">
        <v>4</v>
      </c>
      <c r="L1" s="187"/>
      <c r="M1" s="188"/>
      <c r="N1" s="186" t="s">
        <v>5</v>
      </c>
      <c r="O1" s="187"/>
      <c r="P1" s="188"/>
    </row>
    <row r="2" spans="1:22" x14ac:dyDescent="0.3">
      <c r="A2" s="2" t="s">
        <v>7</v>
      </c>
      <c r="B2" s="195" t="s">
        <v>8</v>
      </c>
      <c r="C2" s="196"/>
      <c r="D2" s="197"/>
      <c r="E2" s="195" t="s">
        <v>9</v>
      </c>
      <c r="F2" s="196"/>
      <c r="G2" s="196"/>
      <c r="H2" s="195" t="s">
        <v>10</v>
      </c>
      <c r="I2" s="196"/>
      <c r="J2" s="197"/>
      <c r="K2" s="195" t="s">
        <v>11</v>
      </c>
      <c r="L2" s="196"/>
      <c r="M2" s="197"/>
      <c r="N2" s="195" t="s">
        <v>12</v>
      </c>
      <c r="O2" s="196"/>
      <c r="P2" s="197"/>
    </row>
    <row r="3" spans="1:22" x14ac:dyDescent="0.3">
      <c r="A3" s="3" t="s">
        <v>14</v>
      </c>
      <c r="B3" s="169">
        <v>1</v>
      </c>
      <c r="C3" s="170"/>
      <c r="D3" s="171"/>
      <c r="E3" s="170">
        <v>1.5</v>
      </c>
      <c r="F3" s="170"/>
      <c r="G3" s="170"/>
      <c r="H3" s="175">
        <f>E3</f>
        <v>1.5</v>
      </c>
      <c r="I3" s="176"/>
      <c r="J3" s="177"/>
      <c r="K3" s="172">
        <f>K4/H29</f>
        <v>3.0612244897959187</v>
      </c>
      <c r="L3" s="173"/>
      <c r="M3" s="174"/>
      <c r="N3" s="172">
        <f>N4/K29</f>
        <v>7.1428571428571441</v>
      </c>
      <c r="O3" s="173"/>
      <c r="P3" s="174"/>
    </row>
    <row r="4" spans="1:22" x14ac:dyDescent="0.3">
      <c r="A4" s="3" t="s">
        <v>15</v>
      </c>
      <c r="B4" s="178">
        <v>5000000</v>
      </c>
      <c r="C4" s="179"/>
      <c r="D4" s="179"/>
      <c r="E4" s="180">
        <f>SUM(G7:G11)</f>
        <v>13500000</v>
      </c>
      <c r="F4" s="181"/>
      <c r="G4" s="181"/>
      <c r="H4" s="183">
        <f>E5</f>
        <v>19500000</v>
      </c>
      <c r="I4" s="184"/>
      <c r="J4" s="185"/>
      <c r="K4" s="180">
        <v>50000000</v>
      </c>
      <c r="L4" s="181"/>
      <c r="M4" s="182"/>
      <c r="N4" s="180">
        <v>175000000</v>
      </c>
      <c r="O4" s="181"/>
      <c r="P4" s="182"/>
    </row>
    <row r="5" spans="1:22" x14ac:dyDescent="0.3">
      <c r="A5" s="3" t="s">
        <v>16</v>
      </c>
      <c r="B5" s="189">
        <f>B4+SUM(D9:D11)</f>
        <v>9000000</v>
      </c>
      <c r="C5" s="190"/>
      <c r="D5" s="190"/>
      <c r="E5" s="189">
        <f>E4+SUM(G13:G15)</f>
        <v>19500000</v>
      </c>
      <c r="F5" s="190"/>
      <c r="G5" s="190"/>
      <c r="H5" s="192">
        <f>J29</f>
        <v>24500000</v>
      </c>
      <c r="I5" s="193"/>
      <c r="J5" s="194"/>
      <c r="K5" s="190">
        <f>K4+SUM(M20:M22)</f>
        <v>75000000</v>
      </c>
      <c r="L5" s="190"/>
      <c r="M5" s="190"/>
      <c r="N5" s="189">
        <f>N4+SUM(P24:P27)</f>
        <v>210000000</v>
      </c>
      <c r="O5" s="190"/>
      <c r="P5" s="191"/>
    </row>
    <row r="6" spans="1:22" s="9" customFormat="1" ht="28.8" x14ac:dyDescent="0.3">
      <c r="A6" s="4"/>
      <c r="B6" s="5" t="s">
        <v>17</v>
      </c>
      <c r="C6" s="6" t="s">
        <v>18</v>
      </c>
      <c r="D6" s="7" t="s">
        <v>19</v>
      </c>
      <c r="E6" s="6" t="s">
        <v>17</v>
      </c>
      <c r="F6" s="6" t="s">
        <v>18</v>
      </c>
      <c r="G6" s="6" t="s">
        <v>19</v>
      </c>
      <c r="H6" s="5" t="s">
        <v>17</v>
      </c>
      <c r="I6" s="6" t="s">
        <v>18</v>
      </c>
      <c r="J6" s="7" t="s">
        <v>19</v>
      </c>
      <c r="K6" s="5" t="s">
        <v>17</v>
      </c>
      <c r="L6" s="6" t="s">
        <v>18</v>
      </c>
      <c r="M6" s="7" t="s">
        <v>19</v>
      </c>
      <c r="N6" s="5" t="s">
        <v>17</v>
      </c>
      <c r="O6" s="6" t="s">
        <v>18</v>
      </c>
      <c r="P6" s="7" t="s">
        <v>19</v>
      </c>
    </row>
    <row r="7" spans="1:22" ht="28.8" x14ac:dyDescent="0.3">
      <c r="A7" s="4" t="s">
        <v>24</v>
      </c>
      <c r="B7" s="10">
        <v>5000000</v>
      </c>
      <c r="C7" s="11">
        <f>B7/$B$29</f>
        <v>0.55555555555555558</v>
      </c>
      <c r="D7" s="12">
        <f>B7*$B$3</f>
        <v>5000000</v>
      </c>
      <c r="E7" s="13">
        <f>B7</f>
        <v>5000000</v>
      </c>
      <c r="F7" s="14">
        <f>E7/$E$29</f>
        <v>0.38461538461538464</v>
      </c>
      <c r="G7" s="15">
        <f>E7*$E$3</f>
        <v>7500000</v>
      </c>
      <c r="H7" s="16">
        <f>E7</f>
        <v>5000000</v>
      </c>
      <c r="I7" s="77">
        <f>H7/$H$29</f>
        <v>0.30612244897959184</v>
      </c>
      <c r="J7" s="80">
        <f>H7*$H$3</f>
        <v>7500000</v>
      </c>
      <c r="K7" s="16">
        <f>E7</f>
        <v>5000000</v>
      </c>
      <c r="L7" s="77">
        <f>K7/K$29</f>
        <v>0.20408163265306126</v>
      </c>
      <c r="M7" s="80">
        <f>K7*K$3</f>
        <v>15306122.448979594</v>
      </c>
      <c r="N7" s="16">
        <f>K7</f>
        <v>5000000</v>
      </c>
      <c r="O7" s="77">
        <f>N7/N$29</f>
        <v>0.17006802721088438</v>
      </c>
      <c r="P7" s="80">
        <f>N7*N$3</f>
        <v>35714285.714285724</v>
      </c>
    </row>
    <row r="8" spans="1:22" x14ac:dyDescent="0.3">
      <c r="A8" s="17" t="s">
        <v>25</v>
      </c>
      <c r="B8" s="17"/>
      <c r="C8" s="18"/>
      <c r="D8" s="19"/>
      <c r="E8" s="20"/>
      <c r="F8" s="18"/>
      <c r="G8" s="20"/>
      <c r="H8" s="17"/>
      <c r="I8" s="18"/>
      <c r="J8" s="19"/>
      <c r="K8" s="21"/>
      <c r="L8" s="18"/>
      <c r="M8" s="19"/>
      <c r="N8" s="21"/>
      <c r="O8" s="18"/>
      <c r="P8" s="22"/>
    </row>
    <row r="9" spans="1:22" x14ac:dyDescent="0.3">
      <c r="A9" s="23" t="s">
        <v>26</v>
      </c>
      <c r="B9" s="24">
        <v>1500000</v>
      </c>
      <c r="C9" s="25">
        <f>B9/$B$29</f>
        <v>0.16666666666666666</v>
      </c>
      <c r="D9" s="26">
        <f>B9*$B$3</f>
        <v>1500000</v>
      </c>
      <c r="E9" s="27">
        <f>B9</f>
        <v>1500000</v>
      </c>
      <c r="F9" s="28">
        <f>E9/$E$29</f>
        <v>0.11538461538461539</v>
      </c>
      <c r="G9" s="29">
        <f>E9*$E$3</f>
        <v>2250000</v>
      </c>
      <c r="H9" s="30">
        <f>E9</f>
        <v>1500000</v>
      </c>
      <c r="I9" s="77">
        <f>H9/$H$29</f>
        <v>9.1836734693877556E-2</v>
      </c>
      <c r="J9" s="78">
        <f>H9*$H$3</f>
        <v>2250000</v>
      </c>
      <c r="K9" s="30">
        <f>E9</f>
        <v>1500000</v>
      </c>
      <c r="L9" s="79">
        <f>K9/K$29</f>
        <v>6.122448979591838E-2</v>
      </c>
      <c r="M9" s="78">
        <f>K9*K$3</f>
        <v>4591836.7346938783</v>
      </c>
      <c r="N9" s="30">
        <f>K9</f>
        <v>1500000</v>
      </c>
      <c r="O9" s="79">
        <f>N9/N$29</f>
        <v>5.1020408163265314E-2</v>
      </c>
      <c r="P9" s="78">
        <f>N9*N$3</f>
        <v>10714285.714285716</v>
      </c>
      <c r="R9" s="53"/>
      <c r="S9" s="53"/>
      <c r="T9" s="53"/>
      <c r="U9" s="53"/>
      <c r="V9" s="53"/>
    </row>
    <row r="10" spans="1:22" x14ac:dyDescent="0.3">
      <c r="A10" s="23" t="s">
        <v>27</v>
      </c>
      <c r="B10" s="24">
        <v>1500000</v>
      </c>
      <c r="C10" s="25">
        <f>B10/$B$29</f>
        <v>0.16666666666666666</v>
      </c>
      <c r="D10" s="26">
        <f>B10*$B$3</f>
        <v>1500000</v>
      </c>
      <c r="E10" s="27">
        <f>B10</f>
        <v>1500000</v>
      </c>
      <c r="F10" s="28">
        <f>E10/$E$29</f>
        <v>0.11538461538461539</v>
      </c>
      <c r="G10" s="29">
        <f>E10*$E$3</f>
        <v>2250000</v>
      </c>
      <c r="H10" s="30">
        <f>E10</f>
        <v>1500000</v>
      </c>
      <c r="I10" s="77">
        <f>H10/$H$29</f>
        <v>9.1836734693877556E-2</v>
      </c>
      <c r="J10" s="78">
        <f>H10*$H$3</f>
        <v>2250000</v>
      </c>
      <c r="K10" s="30">
        <f>E10</f>
        <v>1500000</v>
      </c>
      <c r="L10" s="79">
        <f>K10/K$29</f>
        <v>6.122448979591838E-2</v>
      </c>
      <c r="M10" s="78">
        <f>K10*K$3</f>
        <v>4591836.7346938783</v>
      </c>
      <c r="N10" s="30">
        <f>K10</f>
        <v>1500000</v>
      </c>
      <c r="O10" s="79">
        <f>N10/N$29</f>
        <v>5.1020408163265314E-2</v>
      </c>
      <c r="P10" s="78">
        <f>N10*N$3</f>
        <v>10714285.714285716</v>
      </c>
      <c r="R10" s="53"/>
      <c r="S10" s="53"/>
    </row>
    <row r="11" spans="1:22" x14ac:dyDescent="0.3">
      <c r="A11" s="23" t="s">
        <v>28</v>
      </c>
      <c r="B11" s="24">
        <v>1000000</v>
      </c>
      <c r="C11" s="25">
        <f>B11/$B$29</f>
        <v>0.1111111111111111</v>
      </c>
      <c r="D11" s="26">
        <f>B11*$B$3</f>
        <v>1000000</v>
      </c>
      <c r="E11" s="27">
        <f>B11</f>
        <v>1000000</v>
      </c>
      <c r="F11" s="28">
        <f>E11/$E$29</f>
        <v>7.6923076923076927E-2</v>
      </c>
      <c r="G11" s="29">
        <f>E11*$E$3</f>
        <v>1500000</v>
      </c>
      <c r="H11" s="30">
        <v>1000000</v>
      </c>
      <c r="I11" s="77">
        <f>H11/$H$29</f>
        <v>6.1224489795918373E-2</v>
      </c>
      <c r="J11" s="78">
        <f>H11*$H$3</f>
        <v>1500000</v>
      </c>
      <c r="K11" s="30">
        <f>$H$11</f>
        <v>1000000</v>
      </c>
      <c r="L11" s="79">
        <f>K11/K$29</f>
        <v>4.0816326530612249E-2</v>
      </c>
      <c r="M11" s="78">
        <f>K11*K$3</f>
        <v>3061224.4897959186</v>
      </c>
      <c r="N11" s="30">
        <f>$H$11</f>
        <v>1000000</v>
      </c>
      <c r="O11" s="79">
        <f>N11/N$29</f>
        <v>3.4013605442176874E-2</v>
      </c>
      <c r="P11" s="78">
        <f>N11*N$3</f>
        <v>7142857.1428571446</v>
      </c>
    </row>
    <row r="12" spans="1:22" x14ac:dyDescent="0.3">
      <c r="A12" s="17" t="s">
        <v>29</v>
      </c>
      <c r="B12" s="17"/>
      <c r="C12" s="34"/>
      <c r="D12" s="19"/>
      <c r="E12" s="20"/>
      <c r="F12" s="18"/>
      <c r="G12" s="20"/>
      <c r="H12" s="17"/>
      <c r="I12" s="18"/>
      <c r="J12" s="19"/>
      <c r="K12" s="21"/>
      <c r="L12" s="18"/>
      <c r="M12" s="19"/>
      <c r="N12" s="21"/>
      <c r="O12" s="18"/>
      <c r="P12" s="22"/>
    </row>
    <row r="13" spans="1:22" x14ac:dyDescent="0.3">
      <c r="A13" s="23" t="s">
        <v>26</v>
      </c>
      <c r="B13" s="24"/>
      <c r="C13" s="35"/>
      <c r="D13" s="36"/>
      <c r="E13" s="37">
        <f>G13/$E$3</f>
        <v>1500000</v>
      </c>
      <c r="F13" s="28">
        <f>E13/$E$29</f>
        <v>0.11538461538461539</v>
      </c>
      <c r="G13" s="29">
        <v>2250000</v>
      </c>
      <c r="H13" s="38">
        <f>$E13</f>
        <v>1500000</v>
      </c>
      <c r="I13" s="77">
        <f>H13/$H$29</f>
        <v>9.1836734693877556E-2</v>
      </c>
      <c r="J13" s="78">
        <f>H13*$H$3</f>
        <v>2250000</v>
      </c>
      <c r="K13" s="30">
        <f>E13</f>
        <v>1500000</v>
      </c>
      <c r="L13" s="79">
        <f>K13/K$29</f>
        <v>6.122448979591838E-2</v>
      </c>
      <c r="M13" s="78">
        <f>K13*K$3</f>
        <v>4591836.7346938783</v>
      </c>
      <c r="N13" s="30">
        <f>K13</f>
        <v>1500000</v>
      </c>
      <c r="O13" s="79">
        <f>N13/N$29</f>
        <v>5.1020408163265314E-2</v>
      </c>
      <c r="P13" s="78">
        <f>N13*N$3</f>
        <v>10714285.714285716</v>
      </c>
    </row>
    <row r="14" spans="1:22" x14ac:dyDescent="0.3">
      <c r="A14" s="23" t="s">
        <v>27</v>
      </c>
      <c r="B14" s="24"/>
      <c r="C14" s="35"/>
      <c r="D14" s="36"/>
      <c r="E14" s="37">
        <f>G14/$E$3</f>
        <v>1500000</v>
      </c>
      <c r="F14" s="28">
        <f>E14/$E$29</f>
        <v>0.11538461538461539</v>
      </c>
      <c r="G14" s="29">
        <v>2250000</v>
      </c>
      <c r="H14" s="38">
        <f>$E14</f>
        <v>1500000</v>
      </c>
      <c r="I14" s="77">
        <f>H14/$H$29</f>
        <v>9.1836734693877556E-2</v>
      </c>
      <c r="J14" s="78">
        <f>H14*$H$3</f>
        <v>2250000</v>
      </c>
      <c r="K14" s="30">
        <f>E14</f>
        <v>1500000</v>
      </c>
      <c r="L14" s="79">
        <f>K14/K$29</f>
        <v>6.122448979591838E-2</v>
      </c>
      <c r="M14" s="78">
        <f>K14*K$3</f>
        <v>4591836.7346938783</v>
      </c>
      <c r="N14" s="30">
        <f>K14</f>
        <v>1500000</v>
      </c>
      <c r="O14" s="79">
        <f>N14/N$29</f>
        <v>5.1020408163265314E-2</v>
      </c>
      <c r="P14" s="78">
        <f>N14*N$3</f>
        <v>10714285.714285716</v>
      </c>
    </row>
    <row r="15" spans="1:22" x14ac:dyDescent="0.3">
      <c r="A15" s="23" t="s">
        <v>28</v>
      </c>
      <c r="B15" s="24"/>
      <c r="C15" s="35"/>
      <c r="D15" s="36"/>
      <c r="E15" s="37">
        <f>G15/$E$3</f>
        <v>1000000</v>
      </c>
      <c r="F15" s="28">
        <f>E15/$E$29</f>
        <v>7.6923076923076927E-2</v>
      </c>
      <c r="G15" s="29">
        <v>1500000</v>
      </c>
      <c r="H15" s="30">
        <f>$H$11</f>
        <v>1000000</v>
      </c>
      <c r="I15" s="77">
        <f>H15/$H$29</f>
        <v>6.1224489795918373E-2</v>
      </c>
      <c r="J15" s="78">
        <f>H15*$H$3</f>
        <v>1500000</v>
      </c>
      <c r="K15" s="30">
        <f>$H$11</f>
        <v>1000000</v>
      </c>
      <c r="L15" s="79">
        <f>K15/K$29</f>
        <v>4.0816326530612249E-2</v>
      </c>
      <c r="M15" s="78">
        <f>K15*K$3</f>
        <v>3061224.4897959186</v>
      </c>
      <c r="N15" s="30">
        <f>$H$11</f>
        <v>1000000</v>
      </c>
      <c r="O15" s="79">
        <f>N15/N$29</f>
        <v>3.4013605442176874E-2</v>
      </c>
      <c r="P15" s="78">
        <f>N15*N$3</f>
        <v>7142857.1428571446</v>
      </c>
    </row>
    <row r="16" spans="1:22" x14ac:dyDescent="0.3">
      <c r="A16" s="17" t="s">
        <v>30</v>
      </c>
      <c r="B16" s="17"/>
      <c r="C16" s="34"/>
      <c r="D16" s="19"/>
      <c r="E16" s="20"/>
      <c r="F16" s="18"/>
      <c r="G16" s="20"/>
      <c r="H16" s="17"/>
      <c r="I16" s="18"/>
      <c r="J16" s="19"/>
      <c r="K16" s="21"/>
      <c r="L16" s="18"/>
      <c r="M16" s="19"/>
      <c r="N16" s="21"/>
      <c r="O16" s="18"/>
      <c r="P16" s="22"/>
    </row>
    <row r="17" spans="1:16" x14ac:dyDescent="0.3">
      <c r="A17" s="23" t="s">
        <v>26</v>
      </c>
      <c r="B17" s="24"/>
      <c r="C17" s="35"/>
      <c r="D17" s="36"/>
      <c r="E17" s="37"/>
      <c r="F17" s="28"/>
      <c r="G17" s="29"/>
      <c r="H17" s="87">
        <f>J17/$H$3</f>
        <v>1666666.6666666667</v>
      </c>
      <c r="I17" s="88">
        <f>H17/$H$29</f>
        <v>0.10204081632653063</v>
      </c>
      <c r="J17" s="89">
        <v>2500000</v>
      </c>
      <c r="K17" s="90">
        <f>$H17</f>
        <v>1666666.6666666667</v>
      </c>
      <c r="L17" s="91">
        <f>K17/K$29</f>
        <v>6.8027210884353762E-2</v>
      </c>
      <c r="M17" s="89">
        <f>K17*K$3</f>
        <v>5102040.8163265316</v>
      </c>
      <c r="N17" s="90">
        <f>K17</f>
        <v>1666666.6666666667</v>
      </c>
      <c r="O17" s="91">
        <f>N17/N$29</f>
        <v>5.6689342403628128E-2</v>
      </c>
      <c r="P17" s="89">
        <f>N17*N$3</f>
        <v>11904761.904761907</v>
      </c>
    </row>
    <row r="18" spans="1:16" x14ac:dyDescent="0.3">
      <c r="A18" s="23" t="s">
        <v>27</v>
      </c>
      <c r="B18" s="24"/>
      <c r="C18" s="35"/>
      <c r="D18" s="36"/>
      <c r="E18" s="37"/>
      <c r="F18" s="28"/>
      <c r="G18" s="29"/>
      <c r="H18" s="87">
        <f>J18/$H$3</f>
        <v>1666666.6666666667</v>
      </c>
      <c r="I18" s="88">
        <f>H18/$H$29</f>
        <v>0.10204081632653063</v>
      </c>
      <c r="J18" s="89">
        <v>2500000</v>
      </c>
      <c r="K18" s="90">
        <f>$H18</f>
        <v>1666666.6666666667</v>
      </c>
      <c r="L18" s="91">
        <f>K18/K$29</f>
        <v>6.8027210884353762E-2</v>
      </c>
      <c r="M18" s="89">
        <f>K18*K$3</f>
        <v>5102040.8163265316</v>
      </c>
      <c r="N18" s="90">
        <f>K18</f>
        <v>1666666.6666666667</v>
      </c>
      <c r="O18" s="91">
        <f>N18/N$29</f>
        <v>5.6689342403628128E-2</v>
      </c>
      <c r="P18" s="89">
        <f>N18*N$3</f>
        <v>11904761.904761907</v>
      </c>
    </row>
    <row r="19" spans="1:16" x14ac:dyDescent="0.3">
      <c r="A19" s="17" t="s">
        <v>31</v>
      </c>
      <c r="B19" s="17"/>
      <c r="C19" s="34"/>
      <c r="D19" s="19"/>
      <c r="E19" s="20"/>
      <c r="F19" s="39"/>
      <c r="G19" s="20"/>
      <c r="H19" s="17"/>
      <c r="I19" s="39"/>
      <c r="J19" s="19"/>
      <c r="K19" s="21"/>
      <c r="L19" s="18"/>
      <c r="M19" s="19"/>
      <c r="N19" s="21"/>
      <c r="O19" s="18"/>
      <c r="P19" s="22"/>
    </row>
    <row r="20" spans="1:16" x14ac:dyDescent="0.3">
      <c r="A20" s="23" t="s">
        <v>26</v>
      </c>
      <c r="B20" s="24"/>
      <c r="C20" s="35"/>
      <c r="D20" s="36"/>
      <c r="E20" s="37"/>
      <c r="F20" s="40"/>
      <c r="G20" s="29"/>
      <c r="H20" s="38"/>
      <c r="I20" s="40"/>
      <c r="J20" s="26"/>
      <c r="K20" s="76">
        <f>M20/K$3</f>
        <v>1633333.3333333333</v>
      </c>
      <c r="L20" s="85">
        <f t="shared" ref="L20:L22" si="0">K20/K$29</f>
        <v>6.666666666666668E-2</v>
      </c>
      <c r="M20" s="84">
        <v>5000000</v>
      </c>
      <c r="N20" s="81">
        <f>K20</f>
        <v>1633333.3333333333</v>
      </c>
      <c r="O20" s="85">
        <f>N20/N$29</f>
        <v>5.5555555555555559E-2</v>
      </c>
      <c r="P20" s="84">
        <f>N20*N$3</f>
        <v>11666666.666666668</v>
      </c>
    </row>
    <row r="21" spans="1:16" x14ac:dyDescent="0.3">
      <c r="A21" s="23" t="s">
        <v>27</v>
      </c>
      <c r="B21" s="24"/>
      <c r="C21" s="35"/>
      <c r="D21" s="36"/>
      <c r="E21" s="37"/>
      <c r="F21" s="40"/>
      <c r="G21" s="29"/>
      <c r="H21" s="38"/>
      <c r="I21" s="40"/>
      <c r="J21" s="26"/>
      <c r="K21" s="76">
        <f>M21/K$3</f>
        <v>1633333.3333333333</v>
      </c>
      <c r="L21" s="85">
        <f t="shared" si="0"/>
        <v>6.666666666666668E-2</v>
      </c>
      <c r="M21" s="84">
        <v>5000000</v>
      </c>
      <c r="N21" s="81">
        <f>K21</f>
        <v>1633333.3333333333</v>
      </c>
      <c r="O21" s="85">
        <f>N21/N$29</f>
        <v>5.5555555555555559E-2</v>
      </c>
      <c r="P21" s="84">
        <f>N21*N$3</f>
        <v>11666666.666666668</v>
      </c>
    </row>
    <row r="22" spans="1:16" x14ac:dyDescent="0.3">
      <c r="A22" s="41" t="s">
        <v>32</v>
      </c>
      <c r="B22" s="24"/>
      <c r="C22" s="35"/>
      <c r="D22" s="36"/>
      <c r="E22" s="42"/>
      <c r="F22" s="42"/>
      <c r="G22" s="42"/>
      <c r="H22" s="23"/>
      <c r="I22" s="42"/>
      <c r="J22" s="36"/>
      <c r="K22" s="76">
        <f>M22/K$3</f>
        <v>4900000</v>
      </c>
      <c r="L22" s="86">
        <f t="shared" si="0"/>
        <v>0.20000000000000004</v>
      </c>
      <c r="M22" s="83">
        <v>15000000</v>
      </c>
      <c r="N22" s="81">
        <f>K22</f>
        <v>4900000</v>
      </c>
      <c r="O22" s="86">
        <f>N22/N$29</f>
        <v>0.16666666666666669</v>
      </c>
      <c r="P22" s="83">
        <f>N22*N$3</f>
        <v>35000000.000000007</v>
      </c>
    </row>
    <row r="23" spans="1:16" x14ac:dyDescent="0.3">
      <c r="A23" s="17" t="s">
        <v>33</v>
      </c>
      <c r="B23" s="17"/>
      <c r="C23" s="34"/>
      <c r="D23" s="19"/>
      <c r="E23" s="20"/>
      <c r="F23" s="39"/>
      <c r="G23" s="20"/>
      <c r="H23" s="17"/>
      <c r="I23" s="39"/>
      <c r="J23" s="19"/>
      <c r="K23" s="21"/>
      <c r="L23" s="39"/>
      <c r="M23" s="19"/>
      <c r="N23" s="21"/>
      <c r="O23" s="18"/>
      <c r="P23" s="22"/>
    </row>
    <row r="24" spans="1:16" x14ac:dyDescent="0.3">
      <c r="A24" s="23" t="s">
        <v>26</v>
      </c>
      <c r="B24" s="24"/>
      <c r="C24" s="35"/>
      <c r="D24" s="36"/>
      <c r="E24" s="42"/>
      <c r="F24" s="42"/>
      <c r="G24" s="42"/>
      <c r="H24" s="23"/>
      <c r="I24" s="42"/>
      <c r="J24" s="36"/>
      <c r="K24" s="38"/>
      <c r="L24" s="40"/>
      <c r="M24" s="26"/>
      <c r="N24" s="76">
        <f>P24/N$3</f>
        <v>699999.99999999988</v>
      </c>
      <c r="O24" s="85">
        <f>'[1]Investment Memo Cap Table'!L22+'[1]Investment Memo Cap Table'!L$24/2</f>
        <v>2.3809523809523808E-2</v>
      </c>
      <c r="P24" s="84">
        <v>5000000</v>
      </c>
    </row>
    <row r="25" spans="1:16" x14ac:dyDescent="0.3">
      <c r="A25" s="23" t="s">
        <v>27</v>
      </c>
      <c r="B25" s="24"/>
      <c r="C25" s="35"/>
      <c r="D25" s="36"/>
      <c r="E25" s="42"/>
      <c r="F25" s="42"/>
      <c r="G25" s="42"/>
      <c r="H25" s="23"/>
      <c r="I25" s="42"/>
      <c r="J25" s="36"/>
      <c r="K25" s="38"/>
      <c r="L25" s="40"/>
      <c r="M25" s="26"/>
      <c r="N25" s="76">
        <f>P25/N$3</f>
        <v>699999.99999999988</v>
      </c>
      <c r="O25" s="85">
        <f>'[1]Investment Memo Cap Table'!L23+'[1]Investment Memo Cap Table'!L$24/2</f>
        <v>2.3809523809523808E-2</v>
      </c>
      <c r="P25" s="84">
        <v>5000000</v>
      </c>
    </row>
    <row r="26" spans="1:16" x14ac:dyDescent="0.3">
      <c r="A26" s="41" t="s">
        <v>32</v>
      </c>
      <c r="B26" s="24"/>
      <c r="C26" s="35"/>
      <c r="D26" s="36"/>
      <c r="E26" s="42"/>
      <c r="F26" s="42"/>
      <c r="G26" s="42"/>
      <c r="H26" s="23"/>
      <c r="I26" s="42"/>
      <c r="J26" s="36"/>
      <c r="K26" s="38"/>
      <c r="L26" s="40"/>
      <c r="M26" s="26"/>
      <c r="N26" s="76">
        <f>P26/N$3</f>
        <v>699999.99999999988</v>
      </c>
      <c r="O26" s="86">
        <f>N26/N$29</f>
        <v>2.3809523809523808E-2</v>
      </c>
      <c r="P26" s="83">
        <v>5000000</v>
      </c>
    </row>
    <row r="27" spans="1:16" x14ac:dyDescent="0.3">
      <c r="A27" s="41" t="s">
        <v>34</v>
      </c>
      <c r="B27" s="24"/>
      <c r="C27" s="35"/>
      <c r="D27" s="36"/>
      <c r="E27" s="42"/>
      <c r="F27" s="42"/>
      <c r="G27" s="42"/>
      <c r="H27" s="23"/>
      <c r="I27" s="42"/>
      <c r="J27" s="36"/>
      <c r="K27" s="38"/>
      <c r="L27" s="40"/>
      <c r="M27" s="26"/>
      <c r="N27" s="76">
        <f>P27/N$3</f>
        <v>2799999.9999999995</v>
      </c>
      <c r="O27" s="86">
        <f>N27/N$29</f>
        <v>9.5238095238095233E-2</v>
      </c>
      <c r="P27" s="83">
        <v>20000000</v>
      </c>
    </row>
    <row r="28" spans="1:16" x14ac:dyDescent="0.3">
      <c r="A28" s="23"/>
      <c r="B28" s="43"/>
      <c r="C28" s="44"/>
      <c r="D28" s="45"/>
      <c r="E28" s="42"/>
      <c r="F28" s="42"/>
      <c r="G28" s="42"/>
      <c r="H28" s="23"/>
      <c r="I28" s="42"/>
      <c r="J28" s="36"/>
      <c r="K28" s="43"/>
      <c r="L28" s="44"/>
      <c r="M28" s="45"/>
      <c r="N28" s="43"/>
      <c r="O28" s="44"/>
      <c r="P28" s="45"/>
    </row>
    <row r="29" spans="1:16" x14ac:dyDescent="0.3">
      <c r="A29" s="46" t="s">
        <v>35</v>
      </c>
      <c r="B29" s="47">
        <f>SUM(B7:B28)</f>
        <v>9000000</v>
      </c>
      <c r="C29" s="48">
        <f>SUM(C7:C11)</f>
        <v>1</v>
      </c>
      <c r="D29" s="49">
        <f>SUM(D7:D22)</f>
        <v>9000000</v>
      </c>
      <c r="E29" s="47">
        <f>SUM(E7:E28)</f>
        <v>13000000</v>
      </c>
      <c r="F29" s="50">
        <f>SUM(F7:F22)</f>
        <v>1</v>
      </c>
      <c r="G29" s="51">
        <f>SUM(G7:G15)</f>
        <v>19500000</v>
      </c>
      <c r="H29" s="82">
        <f>SUM(H7:H28)</f>
        <v>16333333.333333332</v>
      </c>
      <c r="I29" s="50">
        <f>SUM(I7:I28)</f>
        <v>0.99999999999999989</v>
      </c>
      <c r="J29" s="52">
        <f>SUM(J7:J28)</f>
        <v>24500000</v>
      </c>
      <c r="K29" s="82">
        <f>SUM(K7:K22)</f>
        <v>24499999.999999996</v>
      </c>
      <c r="L29" s="50">
        <f>SUM(L7:L22)</f>
        <v>1.0000000000000002</v>
      </c>
      <c r="M29" s="51">
        <f>SUM(M7:M22)</f>
        <v>75000000</v>
      </c>
      <c r="N29" s="82">
        <f>SUM(N7:N27)</f>
        <v>29399999.999999996</v>
      </c>
      <c r="O29" s="50">
        <f>SUM(O7:O27)</f>
        <v>1.0000000000000002</v>
      </c>
      <c r="P29" s="52">
        <f>SUM(P7:P27)</f>
        <v>210000000.00000003</v>
      </c>
    </row>
    <row r="30" spans="1:16" x14ac:dyDescent="0.3">
      <c r="B30" s="32"/>
      <c r="C30" s="33"/>
      <c r="D30" s="53"/>
      <c r="E30" s="54"/>
      <c r="F30" s="33"/>
      <c r="G30" s="53"/>
      <c r="H30" s="54"/>
      <c r="I30" s="33"/>
      <c r="J30" s="53"/>
    </row>
    <row r="31" spans="1:16" ht="15" thickBot="1" x14ac:dyDescent="0.35">
      <c r="A31" s="55" t="s">
        <v>36</v>
      </c>
      <c r="B31" s="56" t="s">
        <v>37</v>
      </c>
      <c r="C31" s="57" t="s">
        <v>18</v>
      </c>
      <c r="D31" s="56" t="s">
        <v>38</v>
      </c>
      <c r="E31" s="56" t="s">
        <v>37</v>
      </c>
      <c r="F31" s="57" t="s">
        <v>18</v>
      </c>
      <c r="G31" s="56" t="s">
        <v>38</v>
      </c>
      <c r="H31" s="56" t="s">
        <v>37</v>
      </c>
      <c r="I31" s="57" t="s">
        <v>18</v>
      </c>
      <c r="J31" s="56" t="s">
        <v>38</v>
      </c>
      <c r="K31" s="56" t="s">
        <v>37</v>
      </c>
      <c r="L31" s="57" t="s">
        <v>18</v>
      </c>
      <c r="M31" s="56" t="s">
        <v>38</v>
      </c>
      <c r="N31" s="56" t="s">
        <v>37</v>
      </c>
      <c r="O31" s="57" t="s">
        <v>18</v>
      </c>
      <c r="P31" s="56" t="s">
        <v>38</v>
      </c>
    </row>
    <row r="32" spans="1:16" x14ac:dyDescent="0.3">
      <c r="A32" s="58" t="s">
        <v>39</v>
      </c>
      <c r="B32" s="59">
        <f>B7</f>
        <v>5000000</v>
      </c>
      <c r="C32" s="60">
        <f>B32/B38</f>
        <v>0.55555555555555558</v>
      </c>
      <c r="D32" s="61"/>
      <c r="E32" s="59">
        <f>E7</f>
        <v>5000000</v>
      </c>
      <c r="F32" s="60">
        <f>E32/E38</f>
        <v>0.38461538461538464</v>
      </c>
      <c r="G32" s="61"/>
      <c r="H32" s="59">
        <f>H7</f>
        <v>5000000</v>
      </c>
      <c r="I32" s="60">
        <f>H32/H38</f>
        <v>0.30612244897959179</v>
      </c>
      <c r="J32" s="61"/>
      <c r="K32" s="59">
        <f>K7</f>
        <v>5000000</v>
      </c>
      <c r="L32" s="60">
        <f>K32/K38</f>
        <v>0.20408163265306123</v>
      </c>
      <c r="M32" s="61"/>
      <c r="N32" s="59">
        <f>N7</f>
        <v>5000000</v>
      </c>
      <c r="O32" s="60">
        <f>N32/N38</f>
        <v>0.17006802721088435</v>
      </c>
      <c r="P32" s="61"/>
    </row>
    <row r="33" spans="1:16" x14ac:dyDescent="0.3">
      <c r="A33" s="62" t="s">
        <v>26</v>
      </c>
      <c r="B33" s="63">
        <f>SUMIF($A$7:$A$27,$A$33,B7:B27)</f>
        <v>1500000</v>
      </c>
      <c r="C33" s="64">
        <f>B33/B38</f>
        <v>0.16666666666666666</v>
      </c>
      <c r="D33" s="65">
        <f>$B$3*B33</f>
        <v>1500000</v>
      </c>
      <c r="E33" s="63">
        <f>SUMIF($A$7:$A$27,$A$33,E7:E27)</f>
        <v>3000000</v>
      </c>
      <c r="F33" s="64">
        <f>E33/E38</f>
        <v>0.23076923076923078</v>
      </c>
      <c r="G33" s="65">
        <f>D33+G13</f>
        <v>3750000</v>
      </c>
      <c r="H33" s="63">
        <f>SUMIF($A$7:$A$27,$A$33,H7:H27)</f>
        <v>4666666.666666667</v>
      </c>
      <c r="I33" s="64">
        <f>H33/H38</f>
        <v>0.2857142857142857</v>
      </c>
      <c r="J33" s="65">
        <f>G33+J17</f>
        <v>6250000</v>
      </c>
      <c r="K33" s="63">
        <f>SUMIF($A$7:$A$27,$A$33,K7:K27)</f>
        <v>6300000</v>
      </c>
      <c r="L33" s="64">
        <f>K33/K38</f>
        <v>0.25714285714285712</v>
      </c>
      <c r="M33" s="65">
        <f>J33+M20</f>
        <v>11250000</v>
      </c>
      <c r="N33" s="63">
        <f>SUMIF($A$7:$A$27,$A$33,N7:N27)</f>
        <v>7000000</v>
      </c>
      <c r="O33" s="64">
        <f>N33/N38</f>
        <v>0.23809523809523808</v>
      </c>
      <c r="P33" s="65">
        <f>M33+P24</f>
        <v>16250000</v>
      </c>
    </row>
    <row r="34" spans="1:16" x14ac:dyDescent="0.3">
      <c r="A34" s="62" t="s">
        <v>27</v>
      </c>
      <c r="B34" s="63">
        <f>SUMIF($A$7:$A$27,$A$34,B7:B27)</f>
        <v>1500000</v>
      </c>
      <c r="C34" s="64">
        <f>B34/B38</f>
        <v>0.16666666666666666</v>
      </c>
      <c r="D34" s="65">
        <f>$B$3*B34</f>
        <v>1500000</v>
      </c>
      <c r="E34" s="63">
        <f>SUMIF($A$7:$A$27,$A$34,E7:E27)</f>
        <v>3000000</v>
      </c>
      <c r="F34" s="64">
        <f>E34/E38</f>
        <v>0.23076923076923078</v>
      </c>
      <c r="G34" s="65">
        <f>D34+G14</f>
        <v>3750000</v>
      </c>
      <c r="H34" s="63">
        <f>SUMIF($A$7:$A$27,$A$34,H7:H27)</f>
        <v>4666666.666666667</v>
      </c>
      <c r="I34" s="64">
        <f>H34/H38</f>
        <v>0.2857142857142857</v>
      </c>
      <c r="J34" s="65">
        <f>G34+J18</f>
        <v>6250000</v>
      </c>
      <c r="K34" s="63">
        <f>SUMIF($A$7:$A$27,$A$34,K7:K27)</f>
        <v>6300000</v>
      </c>
      <c r="L34" s="64">
        <f>K34/K38</f>
        <v>0.25714285714285712</v>
      </c>
      <c r="M34" s="65">
        <f>J34+M21</f>
        <v>11250000</v>
      </c>
      <c r="N34" s="63">
        <f>SUMIF($A$7:$A$27,$A$34,N7:N27)</f>
        <v>7000000</v>
      </c>
      <c r="O34" s="64">
        <f>N34/N38</f>
        <v>0.23809523809523808</v>
      </c>
      <c r="P34" s="65">
        <f>M34+P25</f>
        <v>16250000</v>
      </c>
    </row>
    <row r="35" spans="1:16" x14ac:dyDescent="0.3">
      <c r="A35" s="62" t="s">
        <v>28</v>
      </c>
      <c r="B35" s="63">
        <f>SUMIF($A$7:$A$27,$A$35,B7:B27)</f>
        <v>1000000</v>
      </c>
      <c r="C35" s="64">
        <f>B35/B38</f>
        <v>0.1111111111111111</v>
      </c>
      <c r="D35" s="65">
        <f>$B$3*B35</f>
        <v>1000000</v>
      </c>
      <c r="E35" s="63">
        <f>SUMIF($A$7:$A$27,$A$35,E7:E27)</f>
        <v>2000000</v>
      </c>
      <c r="F35" s="64">
        <f>E35/E38</f>
        <v>0.15384615384615385</v>
      </c>
      <c r="G35" s="65">
        <f>D35+G15</f>
        <v>2500000</v>
      </c>
      <c r="H35" s="63">
        <f>SUMIF($A$7:$A$27,$A$35,H7:H27)</f>
        <v>2000000</v>
      </c>
      <c r="I35" s="64">
        <f>H35/H38</f>
        <v>0.12244897959183672</v>
      </c>
      <c r="J35" s="65">
        <f>G35+J19</f>
        <v>2500000</v>
      </c>
      <c r="K35" s="63">
        <f>SUMIF($A$7:$A$27,$A$35,K7:K27)</f>
        <v>2000000</v>
      </c>
      <c r="L35" s="64">
        <f>K35/K38</f>
        <v>8.1632653061224483E-2</v>
      </c>
      <c r="M35" s="65">
        <f>J35</f>
        <v>2500000</v>
      </c>
      <c r="N35" s="63">
        <f>SUMIF($A$7:$A$27,$A$35,N7:N27)</f>
        <v>2000000</v>
      </c>
      <c r="O35" s="64">
        <f>N35/N38</f>
        <v>6.8027210884353748E-2</v>
      </c>
      <c r="P35" s="65">
        <f>M35</f>
        <v>2500000</v>
      </c>
    </row>
    <row r="36" spans="1:16" x14ac:dyDescent="0.3">
      <c r="A36" s="66" t="s">
        <v>32</v>
      </c>
      <c r="B36" s="63">
        <f>SUMIF($A$7:$A$27,$A$36,B7:B27)</f>
        <v>0</v>
      </c>
      <c r="C36" s="64">
        <f>B36/B38</f>
        <v>0</v>
      </c>
      <c r="D36" s="65">
        <f>$B$3*B36</f>
        <v>0</v>
      </c>
      <c r="E36" s="63">
        <f>SUMIF($A$7:$A$27,$A$36,E7:E27)</f>
        <v>0</v>
      </c>
      <c r="F36" s="64">
        <f>E36/E38</f>
        <v>0</v>
      </c>
      <c r="G36" s="65">
        <f>D36+G16</f>
        <v>0</v>
      </c>
      <c r="H36" s="63">
        <f>SUMIF($A$7:$A$27,$A$36,H7:H27)</f>
        <v>0</v>
      </c>
      <c r="I36" s="64">
        <f>H36/H38</f>
        <v>0</v>
      </c>
      <c r="J36" s="65">
        <f>G36+J20</f>
        <v>0</v>
      </c>
      <c r="K36" s="63">
        <f>SUMIF($A$7:$A$27,$A$36,K7:K27)</f>
        <v>4900000</v>
      </c>
      <c r="L36" s="64">
        <f>K36/K38</f>
        <v>0.2</v>
      </c>
      <c r="M36" s="65">
        <f>M22</f>
        <v>15000000</v>
      </c>
      <c r="N36" s="63">
        <f>SUMIF($A$7:$A$27,$A$36,N7:N27)</f>
        <v>5600000</v>
      </c>
      <c r="O36" s="64">
        <f>N36/N38</f>
        <v>0.19047619047619047</v>
      </c>
      <c r="P36" s="65">
        <f>M36+P26</f>
        <v>20000000</v>
      </c>
    </row>
    <row r="37" spans="1:16" ht="15" thickBot="1" x14ac:dyDescent="0.35">
      <c r="A37" s="66" t="s">
        <v>34</v>
      </c>
      <c r="B37" s="63">
        <f>SUMIF($A$7:$A$27,$A$37,B7:B27)</f>
        <v>0</v>
      </c>
      <c r="C37" s="64">
        <f>B37/B38</f>
        <v>0</v>
      </c>
      <c r="D37" s="65">
        <f>$B$3*B37</f>
        <v>0</v>
      </c>
      <c r="E37" s="63">
        <f>SUMIF($A$7:$A$27,$A$37,E7:E27)</f>
        <v>0</v>
      </c>
      <c r="F37" s="64">
        <f>E37/E38</f>
        <v>0</v>
      </c>
      <c r="G37" s="65">
        <f>D37+G17</f>
        <v>0</v>
      </c>
      <c r="H37" s="63">
        <f>SUMIF($A$7:$A$27,$A$37,H7:H27)</f>
        <v>0</v>
      </c>
      <c r="I37" s="64">
        <f>H37/H38</f>
        <v>0</v>
      </c>
      <c r="J37" s="65">
        <f>G37+J21</f>
        <v>0</v>
      </c>
      <c r="K37" s="63">
        <f>SUMIF($A$7:$A$27,$A$37,K7:K27)</f>
        <v>0</v>
      </c>
      <c r="L37" s="64">
        <f>K37/K38</f>
        <v>0</v>
      </c>
      <c r="M37" s="65">
        <f>J37</f>
        <v>0</v>
      </c>
      <c r="N37" s="63">
        <f>SUMIF($A$7:$A$27,$A$37,N7:N27)</f>
        <v>2799999.9999999995</v>
      </c>
      <c r="O37" s="64">
        <f>N37/N38</f>
        <v>9.5238095238095219E-2</v>
      </c>
      <c r="P37" s="65">
        <f>M37+P27</f>
        <v>20000000</v>
      </c>
    </row>
    <row r="38" spans="1:16" ht="15" thickBot="1" x14ac:dyDescent="0.35">
      <c r="A38" s="67" t="s">
        <v>40</v>
      </c>
      <c r="B38" s="68">
        <f t="shared" ref="B38:P38" si="1">SUM(B32:B37)</f>
        <v>9000000</v>
      </c>
      <c r="C38" s="69">
        <f t="shared" si="1"/>
        <v>1</v>
      </c>
      <c r="D38" s="70">
        <f t="shared" si="1"/>
        <v>4000000</v>
      </c>
      <c r="E38" s="68">
        <f t="shared" si="1"/>
        <v>13000000</v>
      </c>
      <c r="F38" s="69">
        <f t="shared" si="1"/>
        <v>1</v>
      </c>
      <c r="G38" s="70">
        <f t="shared" si="1"/>
        <v>10000000</v>
      </c>
      <c r="H38" s="68">
        <f t="shared" si="1"/>
        <v>16333333.333333336</v>
      </c>
      <c r="I38" s="69">
        <f t="shared" si="1"/>
        <v>1</v>
      </c>
      <c r="J38" s="70">
        <f t="shared" si="1"/>
        <v>15000000</v>
      </c>
      <c r="K38" s="68">
        <f t="shared" si="1"/>
        <v>24500000</v>
      </c>
      <c r="L38" s="69">
        <f t="shared" si="1"/>
        <v>1</v>
      </c>
      <c r="M38" s="70">
        <f t="shared" si="1"/>
        <v>40000000</v>
      </c>
      <c r="N38" s="68">
        <f t="shared" si="1"/>
        <v>29400000</v>
      </c>
      <c r="O38" s="69">
        <f t="shared" si="1"/>
        <v>1</v>
      </c>
      <c r="P38" s="71">
        <f t="shared" si="1"/>
        <v>75000000</v>
      </c>
    </row>
  </sheetData>
  <mergeCells count="25">
    <mergeCell ref="B2:D2"/>
    <mergeCell ref="E2:G2"/>
    <mergeCell ref="K2:M2"/>
    <mergeCell ref="N2:P2"/>
    <mergeCell ref="H2:J2"/>
    <mergeCell ref="B5:D5"/>
    <mergeCell ref="E5:G5"/>
    <mergeCell ref="K5:M5"/>
    <mergeCell ref="N5:P5"/>
    <mergeCell ref="H5:J5"/>
    <mergeCell ref="B1:D1"/>
    <mergeCell ref="E1:G1"/>
    <mergeCell ref="N1:P1"/>
    <mergeCell ref="K1:M1"/>
    <mergeCell ref="H1:J1"/>
    <mergeCell ref="B4:D4"/>
    <mergeCell ref="E4:G4"/>
    <mergeCell ref="K4:M4"/>
    <mergeCell ref="N4:P4"/>
    <mergeCell ref="H4:J4"/>
    <mergeCell ref="B3:D3"/>
    <mergeCell ref="E3:G3"/>
    <mergeCell ref="K3:M3"/>
    <mergeCell ref="N3:P3"/>
    <mergeCell ref="H3:J3"/>
  </mergeCells>
  <phoneticPr fontId="19" type="noConversion"/>
  <pageMargins left="0.7" right="0.7" top="0.75" bottom="0.75" header="0.3" footer="0.3"/>
  <pageSetup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8"/>
  <sheetViews>
    <sheetView showGridLines="0" zoomScale="90" zoomScaleNormal="90" workbookViewId="0">
      <pane xSplit="1" ySplit="6" topLeftCell="B7" activePane="bottomRight" state="frozen"/>
      <selection activeCell="F7" sqref="F7"/>
      <selection pane="topRight" activeCell="F7" sqref="F7"/>
      <selection pane="bottomLeft" activeCell="F7" sqref="F7"/>
      <selection pane="bottomRight" activeCell="V18" sqref="V18"/>
    </sheetView>
  </sheetViews>
  <sheetFormatPr defaultRowHeight="14.4" x14ac:dyDescent="0.3"/>
  <cols>
    <col min="1" max="1" width="25.44140625" customWidth="1"/>
    <col min="2" max="2" width="12.5546875" customWidth="1"/>
    <col min="3" max="3" width="11.21875" customWidth="1"/>
    <col min="4" max="4" width="12.21875" customWidth="1"/>
    <col min="5" max="5" width="13.77734375" customWidth="1"/>
    <col min="6" max="6" width="10.5546875" customWidth="1"/>
    <col min="7" max="7" width="13.44140625" customWidth="1"/>
    <col min="8" max="8" width="13.77734375" customWidth="1"/>
    <col min="9" max="9" width="10.5546875" customWidth="1"/>
    <col min="10" max="11" width="13.44140625" customWidth="1"/>
    <col min="12" max="12" width="11" customWidth="1"/>
    <col min="13" max="13" width="14.77734375" customWidth="1"/>
    <col min="14" max="14" width="13" customWidth="1"/>
    <col min="15" max="15" width="11.77734375" customWidth="1"/>
    <col min="16" max="16" width="15.44140625" customWidth="1"/>
    <col min="17" max="17" width="13.77734375" bestFit="1" customWidth="1"/>
    <col min="18" max="18" width="10.21875" bestFit="1" customWidth="1"/>
    <col min="19" max="19" width="11.21875" bestFit="1" customWidth="1"/>
    <col min="20" max="20" width="12.77734375" hidden="1" customWidth="1"/>
    <col min="22" max="22" width="11.5546875" bestFit="1" customWidth="1"/>
  </cols>
  <sheetData>
    <row r="1" spans="1:20" x14ac:dyDescent="0.3">
      <c r="A1" s="1" t="s">
        <v>0</v>
      </c>
      <c r="B1" s="186" t="s">
        <v>1</v>
      </c>
      <c r="C1" s="187"/>
      <c r="D1" s="188"/>
      <c r="E1" s="187" t="s">
        <v>2</v>
      </c>
      <c r="F1" s="187"/>
      <c r="G1" s="187"/>
      <c r="H1" s="186" t="s">
        <v>3</v>
      </c>
      <c r="I1" s="187"/>
      <c r="J1" s="188"/>
      <c r="K1" s="186" t="s">
        <v>4</v>
      </c>
      <c r="L1" s="187"/>
      <c r="M1" s="188"/>
      <c r="N1" s="186" t="s">
        <v>5</v>
      </c>
      <c r="O1" s="187"/>
      <c r="P1" s="188"/>
      <c r="Q1" s="198" t="s">
        <v>6</v>
      </c>
      <c r="R1" s="199"/>
      <c r="S1" s="200"/>
    </row>
    <row r="2" spans="1:20" x14ac:dyDescent="0.3">
      <c r="A2" s="2" t="s">
        <v>7</v>
      </c>
      <c r="B2" s="195" t="s">
        <v>8</v>
      </c>
      <c r="C2" s="196"/>
      <c r="D2" s="197"/>
      <c r="E2" s="195" t="s">
        <v>9</v>
      </c>
      <c r="F2" s="196"/>
      <c r="G2" s="196"/>
      <c r="H2" s="195" t="s">
        <v>10</v>
      </c>
      <c r="I2" s="196"/>
      <c r="J2" s="197"/>
      <c r="K2" s="195" t="s">
        <v>11</v>
      </c>
      <c r="L2" s="196"/>
      <c r="M2" s="197"/>
      <c r="N2" s="195" t="s">
        <v>12</v>
      </c>
      <c r="O2" s="196"/>
      <c r="P2" s="197"/>
      <c r="Q2" s="201" t="s">
        <v>13</v>
      </c>
      <c r="R2" s="202"/>
      <c r="S2" s="203"/>
    </row>
    <row r="3" spans="1:20" x14ac:dyDescent="0.3">
      <c r="A3" s="3" t="s">
        <v>14</v>
      </c>
      <c r="B3" s="169">
        <v>1</v>
      </c>
      <c r="C3" s="170"/>
      <c r="D3" s="171"/>
      <c r="E3" s="170">
        <v>1.5</v>
      </c>
      <c r="F3" s="170"/>
      <c r="G3" s="170"/>
      <c r="H3" s="169">
        <v>1.5</v>
      </c>
      <c r="I3" s="170"/>
      <c r="J3" s="171"/>
      <c r="K3" s="169">
        <f>K4/H29</f>
        <v>3.0612244897959187</v>
      </c>
      <c r="L3" s="170"/>
      <c r="M3" s="171"/>
      <c r="N3" s="169">
        <f>N4/K29</f>
        <v>7.1428571428571441</v>
      </c>
      <c r="O3" s="170"/>
      <c r="P3" s="171"/>
      <c r="Q3" s="204"/>
      <c r="R3" s="205"/>
      <c r="S3" s="206"/>
    </row>
    <row r="4" spans="1:20" x14ac:dyDescent="0.3">
      <c r="A4" s="3" t="s">
        <v>15</v>
      </c>
      <c r="B4" s="178">
        <v>5000000</v>
      </c>
      <c r="C4" s="179"/>
      <c r="D4" s="179"/>
      <c r="E4" s="180">
        <f>SUM(G7:G11)</f>
        <v>13500000</v>
      </c>
      <c r="F4" s="181"/>
      <c r="G4" s="181"/>
      <c r="H4" s="180">
        <f>E5</f>
        <v>19500000</v>
      </c>
      <c r="I4" s="181"/>
      <c r="J4" s="182"/>
      <c r="K4" s="180">
        <v>50000000</v>
      </c>
      <c r="L4" s="181"/>
      <c r="M4" s="182"/>
      <c r="N4" s="180">
        <v>175000000</v>
      </c>
      <c r="O4" s="181"/>
      <c r="P4" s="182"/>
      <c r="Q4" s="180">
        <v>350000000</v>
      </c>
      <c r="R4" s="181"/>
      <c r="S4" s="182"/>
    </row>
    <row r="5" spans="1:20" x14ac:dyDescent="0.3">
      <c r="A5" s="3" t="s">
        <v>16</v>
      </c>
      <c r="B5" s="189">
        <f>B4+SUM(D9:D11)</f>
        <v>9000000</v>
      </c>
      <c r="C5" s="190"/>
      <c r="D5" s="190"/>
      <c r="E5" s="189">
        <f>E4+SUM(G13:G15)</f>
        <v>19500000</v>
      </c>
      <c r="F5" s="190"/>
      <c r="G5" s="190"/>
      <c r="H5" s="189">
        <f>H4+SUM(J17:J18)</f>
        <v>24500000</v>
      </c>
      <c r="I5" s="190"/>
      <c r="J5" s="191"/>
      <c r="K5" s="190">
        <f>K4+SUM(M20:M22)</f>
        <v>75000000</v>
      </c>
      <c r="L5" s="190"/>
      <c r="M5" s="190"/>
      <c r="N5" s="189">
        <f>N4+SUM(P24:P27)</f>
        <v>210000000</v>
      </c>
      <c r="O5" s="190"/>
      <c r="P5" s="191"/>
      <c r="Q5" s="189"/>
      <c r="R5" s="190"/>
      <c r="S5" s="191"/>
    </row>
    <row r="6" spans="1:20" s="9" customFormat="1" ht="28.8" x14ac:dyDescent="0.3">
      <c r="A6" s="4"/>
      <c r="B6" s="5" t="s">
        <v>17</v>
      </c>
      <c r="C6" s="6" t="s">
        <v>18</v>
      </c>
      <c r="D6" s="7" t="s">
        <v>19</v>
      </c>
      <c r="E6" s="6" t="s">
        <v>17</v>
      </c>
      <c r="F6" s="6" t="s">
        <v>18</v>
      </c>
      <c r="G6" s="6" t="s">
        <v>19</v>
      </c>
      <c r="H6" s="5" t="s">
        <v>17</v>
      </c>
      <c r="I6" s="6" t="s">
        <v>18</v>
      </c>
      <c r="J6" s="7" t="s">
        <v>19</v>
      </c>
      <c r="K6" s="5" t="s">
        <v>17</v>
      </c>
      <c r="L6" s="6" t="s">
        <v>18</v>
      </c>
      <c r="M6" s="7" t="s">
        <v>19</v>
      </c>
      <c r="N6" s="5" t="s">
        <v>17</v>
      </c>
      <c r="O6" s="6" t="s">
        <v>18</v>
      </c>
      <c r="P6" s="7" t="s">
        <v>19</v>
      </c>
      <c r="Q6" s="5" t="s">
        <v>20</v>
      </c>
      <c r="R6" s="6" t="s">
        <v>21</v>
      </c>
      <c r="S6" s="7" t="s">
        <v>22</v>
      </c>
      <c r="T6" s="8" t="s">
        <v>23</v>
      </c>
    </row>
    <row r="7" spans="1:20" ht="28.8" x14ac:dyDescent="0.3">
      <c r="A7" s="4" t="s">
        <v>24</v>
      </c>
      <c r="B7" s="10">
        <v>5000000</v>
      </c>
      <c r="C7" s="11">
        <f>B7/$B$29</f>
        <v>0.55555555555555558</v>
      </c>
      <c r="D7" s="12">
        <f>B7*$B$3</f>
        <v>5000000</v>
      </c>
      <c r="E7" s="13">
        <f>B7</f>
        <v>5000000</v>
      </c>
      <c r="F7" s="14">
        <f>E7/$E$29</f>
        <v>0.38461538461538464</v>
      </c>
      <c r="G7" s="15">
        <f>E7*$E$3</f>
        <v>7500000</v>
      </c>
      <c r="H7" s="16">
        <f>E7</f>
        <v>5000000</v>
      </c>
      <c r="I7" s="14">
        <f>H7/$H$29</f>
        <v>0.30612244897959184</v>
      </c>
      <c r="J7" s="12">
        <f>H7*$E$3</f>
        <v>7500000</v>
      </c>
      <c r="K7" s="16">
        <f>E7</f>
        <v>5000000</v>
      </c>
      <c r="L7" s="14">
        <f>K7/K$29</f>
        <v>0.20408163265306126</v>
      </c>
      <c r="M7" s="12">
        <f>K7*K$3</f>
        <v>15306122.448979594</v>
      </c>
      <c r="N7" s="16">
        <f>K7</f>
        <v>5000000</v>
      </c>
      <c r="O7" s="14">
        <f>N7/N$29</f>
        <v>0.17006802721088438</v>
      </c>
      <c r="P7" s="12">
        <f>N7*N$3</f>
        <v>35714285.714285724</v>
      </c>
      <c r="Q7" s="75">
        <f>O7*$Q$4</f>
        <v>59523809.52380953</v>
      </c>
      <c r="R7" s="14"/>
      <c r="S7" s="12"/>
    </row>
    <row r="8" spans="1:20" x14ac:dyDescent="0.3">
      <c r="A8" s="17" t="s">
        <v>25</v>
      </c>
      <c r="B8" s="17"/>
      <c r="C8" s="18"/>
      <c r="D8" s="19"/>
      <c r="E8" s="20"/>
      <c r="F8" s="18"/>
      <c r="G8" s="20"/>
      <c r="H8" s="17"/>
      <c r="I8" s="18"/>
      <c r="J8" s="19"/>
      <c r="K8" s="21"/>
      <c r="L8" s="18"/>
      <c r="M8" s="19"/>
      <c r="N8" s="21"/>
      <c r="O8" s="18"/>
      <c r="P8" s="22"/>
      <c r="Q8" s="21"/>
      <c r="R8" s="18"/>
      <c r="S8" s="22"/>
    </row>
    <row r="9" spans="1:20" x14ac:dyDescent="0.3">
      <c r="A9" s="23" t="s">
        <v>26</v>
      </c>
      <c r="B9" s="24">
        <v>1500000</v>
      </c>
      <c r="C9" s="25">
        <f>B9/$B$29</f>
        <v>0.16666666666666666</v>
      </c>
      <c r="D9" s="26">
        <f>B9*$B$3</f>
        <v>1500000</v>
      </c>
      <c r="E9" s="27">
        <f>B9</f>
        <v>1500000</v>
      </c>
      <c r="F9" s="28">
        <f>E9/$E$29</f>
        <v>0.11538461538461539</v>
      </c>
      <c r="G9" s="29">
        <f>E9*$E$3</f>
        <v>2250000</v>
      </c>
      <c r="H9" s="30">
        <f>E9</f>
        <v>1500000</v>
      </c>
      <c r="I9" s="14">
        <f>H9/$H$29</f>
        <v>9.1836734693877556E-2</v>
      </c>
      <c r="J9" s="26">
        <f>I9*J$29</f>
        <v>2250000</v>
      </c>
      <c r="K9" s="30">
        <f>E9</f>
        <v>1500000</v>
      </c>
      <c r="L9" s="28">
        <f>K9/K$29</f>
        <v>6.122448979591838E-2</v>
      </c>
      <c r="M9" s="26">
        <f>K9*K$3</f>
        <v>4591836.7346938783</v>
      </c>
      <c r="N9" s="30">
        <f>K9</f>
        <v>1500000</v>
      </c>
      <c r="O9" s="28">
        <f>N9/N$29</f>
        <v>5.1020408163265314E-2</v>
      </c>
      <c r="P9" s="29">
        <f>N9*N$3</f>
        <v>10714285.714285716</v>
      </c>
      <c r="Q9" s="73">
        <f>O9*$Q$4</f>
        <v>17857142.857142858</v>
      </c>
      <c r="R9" s="27">
        <v>8</v>
      </c>
      <c r="S9" s="31">
        <f>(Q9/D9)^(1/R9)-1</f>
        <v>0.36290344482408576</v>
      </c>
      <c r="T9" s="32">
        <f>Q9*$N$5/$Q$4*$K$5/$N$4*$H$5/$K$4*$B$5/$E$4</f>
        <v>1500000</v>
      </c>
    </row>
    <row r="10" spans="1:20" x14ac:dyDescent="0.3">
      <c r="A10" s="23" t="s">
        <v>27</v>
      </c>
      <c r="B10" s="24">
        <v>1500000</v>
      </c>
      <c r="C10" s="25">
        <f>B10/$B$29</f>
        <v>0.16666666666666666</v>
      </c>
      <c r="D10" s="26">
        <f>B10*$B$3</f>
        <v>1500000</v>
      </c>
      <c r="E10" s="27">
        <f>B10</f>
        <v>1500000</v>
      </c>
      <c r="F10" s="28">
        <f>E10/$E$29</f>
        <v>0.11538461538461539</v>
      </c>
      <c r="G10" s="29">
        <f>E10*$E$3</f>
        <v>2250000</v>
      </c>
      <c r="H10" s="30">
        <f>E10</f>
        <v>1500000</v>
      </c>
      <c r="I10" s="14">
        <f>H10/$H$29</f>
        <v>9.1836734693877556E-2</v>
      </c>
      <c r="J10" s="26">
        <f t="shared" ref="J10:J11" si="0">I10*J$29</f>
        <v>2250000</v>
      </c>
      <c r="K10" s="30">
        <f>E10</f>
        <v>1500000</v>
      </c>
      <c r="L10" s="28">
        <f>K10/K$29</f>
        <v>6.122448979591838E-2</v>
      </c>
      <c r="M10" s="26">
        <f>K10*K$3</f>
        <v>4591836.7346938783</v>
      </c>
      <c r="N10" s="30">
        <f>K10</f>
        <v>1500000</v>
      </c>
      <c r="O10" s="28">
        <f>N10/N$29</f>
        <v>5.1020408163265314E-2</v>
      </c>
      <c r="P10" s="29">
        <f>N10*N$3</f>
        <v>10714285.714285716</v>
      </c>
      <c r="Q10" s="73">
        <f>O10*$Q$4</f>
        <v>17857142.857142858</v>
      </c>
      <c r="R10" s="27">
        <v>8</v>
      </c>
      <c r="S10" s="31">
        <f>(Q10/D10)^(1/R10)-1</f>
        <v>0.36290344482408576</v>
      </c>
      <c r="T10" s="32">
        <f>Q10*$N$5/$Q$4*$K$5/$N$4*$H$5/$K$4*$B$5/$E$4</f>
        <v>1500000</v>
      </c>
    </row>
    <row r="11" spans="1:20" x14ac:dyDescent="0.3">
      <c r="A11" s="23" t="s">
        <v>28</v>
      </c>
      <c r="B11" s="24">
        <v>1000000</v>
      </c>
      <c r="C11" s="25">
        <f>B11/$B$29</f>
        <v>0.1111111111111111</v>
      </c>
      <c r="D11" s="26">
        <f>B11*$B$3</f>
        <v>1000000</v>
      </c>
      <c r="E11" s="27">
        <f>B11</f>
        <v>1000000</v>
      </c>
      <c r="F11" s="28">
        <f>E11/$E$29</f>
        <v>7.6923076923076927E-2</v>
      </c>
      <c r="G11" s="29">
        <f>E11*$E$3</f>
        <v>1500000</v>
      </c>
      <c r="H11" s="30">
        <v>1000000</v>
      </c>
      <c r="I11" s="14">
        <f>H11/$H$29</f>
        <v>6.1224489795918373E-2</v>
      </c>
      <c r="J11" s="26">
        <f t="shared" si="0"/>
        <v>1500000.0000000002</v>
      </c>
      <c r="K11" s="30">
        <f>$H$11</f>
        <v>1000000</v>
      </c>
      <c r="L11" s="28">
        <f>K11/K$29</f>
        <v>4.0816326530612249E-2</v>
      </c>
      <c r="M11" s="26">
        <f>K11*K$3</f>
        <v>3061224.4897959186</v>
      </c>
      <c r="N11" s="30">
        <f>$H$11</f>
        <v>1000000</v>
      </c>
      <c r="O11" s="28">
        <f>N11/N$29</f>
        <v>3.4013605442176874E-2</v>
      </c>
      <c r="P11" s="29">
        <f>N11*N$3</f>
        <v>7142857.1428571446</v>
      </c>
      <c r="Q11" s="73">
        <f>O11*$Q$4</f>
        <v>11904761.904761907</v>
      </c>
      <c r="R11" s="27">
        <v>8</v>
      </c>
      <c r="S11" s="31">
        <f>(Q11/D11)^(1/R11)-1</f>
        <v>0.36290344482408576</v>
      </c>
      <c r="T11" s="32">
        <f>Q11*$N$5/$Q$4*$K$5/$N$4*$H$5/$K$4*$B$5/$E$4</f>
        <v>1000000.0000000005</v>
      </c>
    </row>
    <row r="12" spans="1:20" x14ac:dyDescent="0.3">
      <c r="A12" s="17" t="s">
        <v>29</v>
      </c>
      <c r="B12" s="17"/>
      <c r="C12" s="34"/>
      <c r="D12" s="19"/>
      <c r="E12" s="20"/>
      <c r="F12" s="18"/>
      <c r="G12" s="20"/>
      <c r="H12" s="17"/>
      <c r="I12" s="18"/>
      <c r="J12" s="19"/>
      <c r="K12" s="21"/>
      <c r="L12" s="18"/>
      <c r="M12" s="19"/>
      <c r="N12" s="21"/>
      <c r="O12" s="18"/>
      <c r="P12" s="72"/>
      <c r="Q12" s="21"/>
      <c r="R12" s="18"/>
      <c r="S12" s="22"/>
    </row>
    <row r="13" spans="1:20" x14ac:dyDescent="0.3">
      <c r="A13" s="23" t="s">
        <v>26</v>
      </c>
      <c r="B13" s="24"/>
      <c r="C13" s="35"/>
      <c r="D13" s="36"/>
      <c r="E13" s="37">
        <f>G13/$E$3</f>
        <v>1500000</v>
      </c>
      <c r="F13" s="28">
        <f>E13/$E$29</f>
        <v>0.11538461538461539</v>
      </c>
      <c r="G13" s="29">
        <v>2250000</v>
      </c>
      <c r="H13" s="38">
        <f>$E13</f>
        <v>1500000</v>
      </c>
      <c r="I13" s="14">
        <f>H13/$H$29</f>
        <v>9.1836734693877556E-2</v>
      </c>
      <c r="J13" s="26">
        <f t="shared" ref="J13:J15" si="1">I13*J$29</f>
        <v>2250000</v>
      </c>
      <c r="K13" s="30">
        <f>E13</f>
        <v>1500000</v>
      </c>
      <c r="L13" s="28">
        <f>K13/K$29</f>
        <v>6.122448979591838E-2</v>
      </c>
      <c r="M13" s="26">
        <f>K13*K$3</f>
        <v>4591836.7346938783</v>
      </c>
      <c r="N13" s="30">
        <f>K13</f>
        <v>1500000</v>
      </c>
      <c r="O13" s="28">
        <f>N13/N$29</f>
        <v>5.1020408163265314E-2</v>
      </c>
      <c r="P13" s="29">
        <f>N13*N$3</f>
        <v>10714285.714285716</v>
      </c>
      <c r="Q13" s="73">
        <f>O13*$Q$4</f>
        <v>17857142.857142858</v>
      </c>
      <c r="R13" s="27">
        <v>7</v>
      </c>
      <c r="S13" s="31">
        <f>(Q13/G13)^(1/R13)-1</f>
        <v>0.34436901269554809</v>
      </c>
      <c r="T13" s="32">
        <f>Q13*$N$5/$Q$4*$K$5/$N$4*$H$5/$K$4</f>
        <v>2250000</v>
      </c>
    </row>
    <row r="14" spans="1:20" x14ac:dyDescent="0.3">
      <c r="A14" s="23" t="s">
        <v>27</v>
      </c>
      <c r="B14" s="24"/>
      <c r="C14" s="35"/>
      <c r="D14" s="36"/>
      <c r="E14" s="37">
        <f>G14/$E$3</f>
        <v>1500000</v>
      </c>
      <c r="F14" s="28">
        <f>E14/$E$29</f>
        <v>0.11538461538461539</v>
      </c>
      <c r="G14" s="29">
        <v>2250000</v>
      </c>
      <c r="H14" s="38">
        <f>$E14</f>
        <v>1500000</v>
      </c>
      <c r="I14" s="14">
        <f>H14/$H$29</f>
        <v>9.1836734693877556E-2</v>
      </c>
      <c r="J14" s="26">
        <f t="shared" si="1"/>
        <v>2250000</v>
      </c>
      <c r="K14" s="30">
        <f>E14</f>
        <v>1500000</v>
      </c>
      <c r="L14" s="28">
        <f>K14/K$29</f>
        <v>6.122448979591838E-2</v>
      </c>
      <c r="M14" s="26">
        <f>K14*K$3</f>
        <v>4591836.7346938783</v>
      </c>
      <c r="N14" s="30">
        <f>K14</f>
        <v>1500000</v>
      </c>
      <c r="O14" s="28">
        <f>N14/N$29</f>
        <v>5.1020408163265314E-2</v>
      </c>
      <c r="P14" s="29">
        <f>N14*N$3</f>
        <v>10714285.714285716</v>
      </c>
      <c r="Q14" s="73">
        <f>O14*$Q$4</f>
        <v>17857142.857142858</v>
      </c>
      <c r="R14" s="27">
        <v>7</v>
      </c>
      <c r="S14" s="31">
        <f>(Q14/G14)^(1/R14)-1</f>
        <v>0.34436901269554809</v>
      </c>
      <c r="T14" s="32">
        <f>Q14*$N$5/$Q$4*$K$5/$N$4*$H$5/$K$4</f>
        <v>2250000</v>
      </c>
    </row>
    <row r="15" spans="1:20" x14ac:dyDescent="0.3">
      <c r="A15" s="23" t="s">
        <v>28</v>
      </c>
      <c r="B15" s="24"/>
      <c r="C15" s="35"/>
      <c r="D15" s="36"/>
      <c r="E15" s="37">
        <f>G15/$E$3</f>
        <v>1000000</v>
      </c>
      <c r="F15" s="28">
        <f>E15/$E$29</f>
        <v>7.6923076923076927E-2</v>
      </c>
      <c r="G15" s="29">
        <v>1500000</v>
      </c>
      <c r="H15" s="30">
        <f>$H$11</f>
        <v>1000000</v>
      </c>
      <c r="I15" s="14">
        <f>H15/$H$29</f>
        <v>6.1224489795918373E-2</v>
      </c>
      <c r="J15" s="26">
        <f t="shared" si="1"/>
        <v>1500000.0000000002</v>
      </c>
      <c r="K15" s="30">
        <f>$H$11</f>
        <v>1000000</v>
      </c>
      <c r="L15" s="28">
        <f>K15/K$29</f>
        <v>4.0816326530612249E-2</v>
      </c>
      <c r="M15" s="26">
        <f>K15*K$3</f>
        <v>3061224.4897959186</v>
      </c>
      <c r="N15" s="30">
        <f>$H$11</f>
        <v>1000000</v>
      </c>
      <c r="O15" s="28">
        <f>N15/N$29</f>
        <v>3.4013605442176874E-2</v>
      </c>
      <c r="P15" s="29">
        <f>N15*N$3</f>
        <v>7142857.1428571446</v>
      </c>
      <c r="Q15" s="73">
        <f>O15*$Q$4</f>
        <v>11904761.904761907</v>
      </c>
      <c r="R15" s="27">
        <v>7</v>
      </c>
      <c r="S15" s="31">
        <f>(Q15/G15)^(1/R15)-1</f>
        <v>0.34436901269554809</v>
      </c>
      <c r="T15" s="32">
        <f>Q15*$N$5/$Q$4*$K$5/$N$4*$H$5/$K$4</f>
        <v>1500000.0000000007</v>
      </c>
    </row>
    <row r="16" spans="1:20" x14ac:dyDescent="0.3">
      <c r="A16" s="17" t="s">
        <v>30</v>
      </c>
      <c r="B16" s="17"/>
      <c r="C16" s="34"/>
      <c r="D16" s="19"/>
      <c r="E16" s="20"/>
      <c r="F16" s="18"/>
      <c r="G16" s="20"/>
      <c r="H16" s="17"/>
      <c r="I16" s="18"/>
      <c r="J16" s="19"/>
      <c r="K16" s="21"/>
      <c r="L16" s="18"/>
      <c r="M16" s="19"/>
      <c r="N16" s="21"/>
      <c r="O16" s="18"/>
      <c r="P16" s="72"/>
      <c r="Q16" s="21"/>
      <c r="R16" s="18"/>
      <c r="S16" s="22"/>
    </row>
    <row r="17" spans="1:22" x14ac:dyDescent="0.3">
      <c r="A17" s="23" t="s">
        <v>26</v>
      </c>
      <c r="B17" s="24"/>
      <c r="C17" s="35"/>
      <c r="D17" s="36"/>
      <c r="E17" s="37"/>
      <c r="F17" s="28"/>
      <c r="G17" s="29"/>
      <c r="H17" s="38">
        <f>J17/$H$3</f>
        <v>1666666.6666666667</v>
      </c>
      <c r="I17" s="14">
        <f>H17/$H$29</f>
        <v>0.10204081632653063</v>
      </c>
      <c r="J17" s="26">
        <v>2500000</v>
      </c>
      <c r="K17" s="30">
        <f>$H17</f>
        <v>1666666.6666666667</v>
      </c>
      <c r="L17" s="28">
        <f>K17/K$29</f>
        <v>6.8027210884353762E-2</v>
      </c>
      <c r="M17" s="26">
        <f>K17*K$3</f>
        <v>5102040.8163265316</v>
      </c>
      <c r="N17" s="30">
        <f>K17</f>
        <v>1666666.6666666667</v>
      </c>
      <c r="O17" s="28">
        <f>N17/N$29</f>
        <v>5.6689342403628128E-2</v>
      </c>
      <c r="P17" s="29">
        <f>N17*N$3</f>
        <v>11904761.904761907</v>
      </c>
      <c r="Q17" s="73">
        <f>O17*$Q$4</f>
        <v>19841269.841269843</v>
      </c>
      <c r="R17" s="27">
        <v>5</v>
      </c>
      <c r="S17" s="31">
        <f>(Q17/J17)^(1/R17)-1</f>
        <v>0.51330299284923941</v>
      </c>
      <c r="T17" s="32">
        <f>Q17*$N$5/$Q$4*$K$5/$N$4*$H$5/$K$4</f>
        <v>2500000</v>
      </c>
      <c r="V17" s="32"/>
    </row>
    <row r="18" spans="1:22" x14ac:dyDescent="0.3">
      <c r="A18" s="23" t="s">
        <v>27</v>
      </c>
      <c r="B18" s="24"/>
      <c r="C18" s="35"/>
      <c r="D18" s="36"/>
      <c r="E18" s="37"/>
      <c r="F18" s="28"/>
      <c r="G18" s="29"/>
      <c r="H18" s="38">
        <f>J18/$H$3</f>
        <v>1666666.6666666667</v>
      </c>
      <c r="I18" s="14">
        <f>H18/$H$29</f>
        <v>0.10204081632653063</v>
      </c>
      <c r="J18" s="26">
        <v>2500000</v>
      </c>
      <c r="K18" s="30">
        <f>$H18</f>
        <v>1666666.6666666667</v>
      </c>
      <c r="L18" s="28">
        <f>K18/K$29</f>
        <v>6.8027210884353762E-2</v>
      </c>
      <c r="M18" s="26">
        <f>K18*K$3</f>
        <v>5102040.8163265316</v>
      </c>
      <c r="N18" s="30">
        <f>K18</f>
        <v>1666666.6666666667</v>
      </c>
      <c r="O18" s="28">
        <f>N18/N$29</f>
        <v>5.6689342403628128E-2</v>
      </c>
      <c r="P18" s="29">
        <f>N18*N$3</f>
        <v>11904761.904761907</v>
      </c>
      <c r="Q18" s="73">
        <f>O18*$Q$4</f>
        <v>19841269.841269843</v>
      </c>
      <c r="R18" s="27">
        <v>5</v>
      </c>
      <c r="S18" s="31">
        <f>(Q18/J18)^(1/R18)-1</f>
        <v>0.51330299284923941</v>
      </c>
      <c r="T18" s="32">
        <f>Q18*$N$5/$Q$4*$K$5/$N$4*$H$5/$K$4</f>
        <v>2500000</v>
      </c>
      <c r="V18" s="32"/>
    </row>
    <row r="19" spans="1:22" x14ac:dyDescent="0.3">
      <c r="A19" s="17" t="s">
        <v>31</v>
      </c>
      <c r="B19" s="17"/>
      <c r="C19" s="34"/>
      <c r="D19" s="19"/>
      <c r="E19" s="20"/>
      <c r="F19" s="39"/>
      <c r="G19" s="20"/>
      <c r="H19" s="17"/>
      <c r="I19" s="39"/>
      <c r="J19" s="19"/>
      <c r="K19" s="21"/>
      <c r="L19" s="18"/>
      <c r="M19" s="19"/>
      <c r="N19" s="21"/>
      <c r="O19" s="18"/>
      <c r="P19" s="72"/>
      <c r="Q19" s="21"/>
      <c r="R19" s="18"/>
      <c r="S19" s="22"/>
    </row>
    <row r="20" spans="1:22" x14ac:dyDescent="0.3">
      <c r="A20" s="23" t="s">
        <v>26</v>
      </c>
      <c r="B20" s="24"/>
      <c r="C20" s="35"/>
      <c r="D20" s="36"/>
      <c r="E20" s="37"/>
      <c r="F20" s="40"/>
      <c r="G20" s="29"/>
      <c r="H20" s="38"/>
      <c r="I20" s="40"/>
      <c r="J20" s="26"/>
      <c r="K20" s="38">
        <f>M20/K$3</f>
        <v>1633333.3333333333</v>
      </c>
      <c r="L20" s="28">
        <f>'[1]Investment Memo Cap Table'!I17+'[1]Investment Memo Cap Table'!I$19/2</f>
        <v>6.6666666666666666E-2</v>
      </c>
      <c r="M20" s="26">
        <v>5000000</v>
      </c>
      <c r="N20" s="30">
        <f>K20</f>
        <v>1633333.3333333333</v>
      </c>
      <c r="O20" s="28">
        <f>N20/N$29</f>
        <v>5.5555555555555559E-2</v>
      </c>
      <c r="P20" s="29">
        <f>N20*N$3</f>
        <v>11666666.666666668</v>
      </c>
      <c r="Q20" s="73">
        <f>O20*$Q$4</f>
        <v>19444444.444444444</v>
      </c>
      <c r="R20" s="27">
        <v>4</v>
      </c>
      <c r="S20" s="31">
        <f>(Q20/M20)^(1/R20)-1</f>
        <v>0.40428864353684024</v>
      </c>
      <c r="T20" s="32">
        <f>Q20*$N$5/$Q$4*$K$5/$N$4</f>
        <v>5000000</v>
      </c>
    </row>
    <row r="21" spans="1:22" x14ac:dyDescent="0.3">
      <c r="A21" s="23" t="s">
        <v>27</v>
      </c>
      <c r="B21" s="24"/>
      <c r="C21" s="35"/>
      <c r="D21" s="36"/>
      <c r="E21" s="37"/>
      <c r="F21" s="40"/>
      <c r="G21" s="29"/>
      <c r="H21" s="38"/>
      <c r="I21" s="40"/>
      <c r="J21" s="26"/>
      <c r="K21" s="38">
        <f>M21/K$3</f>
        <v>1633333.3333333333</v>
      </c>
      <c r="L21" s="28">
        <f>'[1]Investment Memo Cap Table'!I18+'[1]Investment Memo Cap Table'!I$19/2</f>
        <v>6.6666666666666666E-2</v>
      </c>
      <c r="M21" s="26">
        <v>5000000</v>
      </c>
      <c r="N21" s="30">
        <f>K21</f>
        <v>1633333.3333333333</v>
      </c>
      <c r="O21" s="28">
        <f>N21/N$29</f>
        <v>5.5555555555555559E-2</v>
      </c>
      <c r="P21" s="29">
        <f>N21*N$3</f>
        <v>11666666.666666668</v>
      </c>
      <c r="Q21" s="73">
        <f>O21*$Q$4</f>
        <v>19444444.444444444</v>
      </c>
      <c r="R21" s="27">
        <v>4</v>
      </c>
      <c r="S21" s="31">
        <f>(Q21/M21)^(1/R21)-1</f>
        <v>0.40428864353684024</v>
      </c>
      <c r="T21" s="32">
        <f>Q21*$N$5/$Q$4*$K$5/$N$4</f>
        <v>5000000</v>
      </c>
    </row>
    <row r="22" spans="1:22" x14ac:dyDescent="0.3">
      <c r="A22" s="41" t="s">
        <v>32</v>
      </c>
      <c r="B22" s="24"/>
      <c r="C22" s="35"/>
      <c r="D22" s="36"/>
      <c r="E22" s="42"/>
      <c r="F22" s="42"/>
      <c r="G22" s="42"/>
      <c r="H22" s="23"/>
      <c r="I22" s="42"/>
      <c r="J22" s="36"/>
      <c r="K22" s="38">
        <f>M22/K$3</f>
        <v>4900000</v>
      </c>
      <c r="L22" s="28">
        <f>'[1]Investment Memo Cap Table'!I20</f>
        <v>0.2</v>
      </c>
      <c r="M22" s="26">
        <v>15000000</v>
      </c>
      <c r="N22" s="30">
        <f>K22</f>
        <v>4900000</v>
      </c>
      <c r="O22" s="28">
        <f>N22/N$29</f>
        <v>0.16666666666666669</v>
      </c>
      <c r="P22" s="29">
        <f>N22*N$3</f>
        <v>35000000.000000007</v>
      </c>
      <c r="Q22" s="73">
        <f>O22*$Q$4</f>
        <v>58333333.333333343</v>
      </c>
      <c r="R22" s="27">
        <v>4</v>
      </c>
      <c r="S22" s="31">
        <f>(Q22/M22)^(1/R22)-1</f>
        <v>0.40428864353684024</v>
      </c>
      <c r="T22" s="32">
        <f>Q22*$N$5/$Q$4*$K$5/$N$4</f>
        <v>15000000.000000004</v>
      </c>
    </row>
    <row r="23" spans="1:22" x14ac:dyDescent="0.3">
      <c r="A23" s="17" t="s">
        <v>33</v>
      </c>
      <c r="B23" s="17"/>
      <c r="C23" s="34"/>
      <c r="D23" s="19"/>
      <c r="E23" s="20"/>
      <c r="F23" s="39"/>
      <c r="G23" s="20"/>
      <c r="H23" s="17"/>
      <c r="I23" s="39"/>
      <c r="J23" s="19"/>
      <c r="K23" s="21"/>
      <c r="L23" s="39"/>
      <c r="M23" s="19"/>
      <c r="N23" s="21"/>
      <c r="O23" s="18"/>
      <c r="P23" s="72"/>
      <c r="Q23" s="21"/>
      <c r="R23" s="18"/>
      <c r="S23" s="22"/>
    </row>
    <row r="24" spans="1:22" x14ac:dyDescent="0.3">
      <c r="A24" s="23" t="s">
        <v>26</v>
      </c>
      <c r="B24" s="24"/>
      <c r="C24" s="35"/>
      <c r="D24" s="36"/>
      <c r="E24" s="42"/>
      <c r="F24" s="42"/>
      <c r="G24" s="42"/>
      <c r="H24" s="23"/>
      <c r="I24" s="42"/>
      <c r="J24" s="36"/>
      <c r="K24" s="38"/>
      <c r="L24" s="40"/>
      <c r="M24" s="26"/>
      <c r="N24" s="38">
        <f>P24/N$3</f>
        <v>699999.99999999988</v>
      </c>
      <c r="O24" s="28">
        <f>'[1]Investment Memo Cap Table'!L22+'[1]Investment Memo Cap Table'!L$24/2</f>
        <v>2.3809523809523808E-2</v>
      </c>
      <c r="P24" s="29">
        <v>5000000</v>
      </c>
      <c r="Q24" s="73">
        <f>O24*$Q$4</f>
        <v>8333333.333333333</v>
      </c>
      <c r="R24" s="27">
        <v>2</v>
      </c>
      <c r="S24" s="31">
        <f>(Q24/P24)^(1/R24)-1</f>
        <v>0.2909944487358056</v>
      </c>
      <c r="T24" s="32">
        <f>Q24*$N$5/$Q$4</f>
        <v>5000000</v>
      </c>
    </row>
    <row r="25" spans="1:22" x14ac:dyDescent="0.3">
      <c r="A25" s="23" t="s">
        <v>27</v>
      </c>
      <c r="B25" s="24"/>
      <c r="C25" s="35"/>
      <c r="D25" s="36"/>
      <c r="E25" s="42"/>
      <c r="F25" s="42"/>
      <c r="G25" s="42"/>
      <c r="H25" s="23"/>
      <c r="I25" s="42"/>
      <c r="J25" s="36"/>
      <c r="K25" s="38"/>
      <c r="L25" s="40"/>
      <c r="M25" s="26"/>
      <c r="N25" s="38">
        <f>P25/N$3</f>
        <v>699999.99999999988</v>
      </c>
      <c r="O25" s="28">
        <f>'[1]Investment Memo Cap Table'!L23+'[1]Investment Memo Cap Table'!L$24/2</f>
        <v>2.3809523809523808E-2</v>
      </c>
      <c r="P25" s="29">
        <v>5000000</v>
      </c>
      <c r="Q25" s="73">
        <f>O25*$Q$4</f>
        <v>8333333.333333333</v>
      </c>
      <c r="R25" s="27">
        <v>2</v>
      </c>
      <c r="S25" s="31">
        <f>(Q25/P25)^(1/R25)-1</f>
        <v>0.2909944487358056</v>
      </c>
      <c r="T25" s="32">
        <f>Q25*$N$5/$Q$4</f>
        <v>5000000</v>
      </c>
    </row>
    <row r="26" spans="1:22" x14ac:dyDescent="0.3">
      <c r="A26" s="41" t="s">
        <v>32</v>
      </c>
      <c r="B26" s="24"/>
      <c r="C26" s="35"/>
      <c r="D26" s="36"/>
      <c r="E26" s="42"/>
      <c r="F26" s="42"/>
      <c r="G26" s="42"/>
      <c r="H26" s="23"/>
      <c r="I26" s="42"/>
      <c r="J26" s="36"/>
      <c r="K26" s="38"/>
      <c r="L26" s="40"/>
      <c r="M26" s="26"/>
      <c r="N26" s="38">
        <f>P26/N$3</f>
        <v>699999.99999999988</v>
      </c>
      <c r="O26" s="28">
        <f>N26/N$29</f>
        <v>2.3809523809523808E-2</v>
      </c>
      <c r="P26" s="29">
        <v>5000000</v>
      </c>
      <c r="Q26" s="73">
        <f>O26*$Q$4</f>
        <v>8333333.333333333</v>
      </c>
      <c r="R26" s="27">
        <v>2</v>
      </c>
      <c r="S26" s="31">
        <f>(Q26/P26)^(1/R26)-1</f>
        <v>0.2909944487358056</v>
      </c>
      <c r="T26" s="32">
        <f>Q26*$N$5/$Q$4</f>
        <v>5000000</v>
      </c>
    </row>
    <row r="27" spans="1:22" x14ac:dyDescent="0.3">
      <c r="A27" s="41" t="s">
        <v>34</v>
      </c>
      <c r="B27" s="24"/>
      <c r="C27" s="35"/>
      <c r="D27" s="36"/>
      <c r="E27" s="42"/>
      <c r="F27" s="42"/>
      <c r="G27" s="42"/>
      <c r="H27" s="23"/>
      <c r="I27" s="42"/>
      <c r="J27" s="36"/>
      <c r="K27" s="38"/>
      <c r="L27" s="40"/>
      <c r="M27" s="26"/>
      <c r="N27" s="38">
        <f>P27/N$3</f>
        <v>2799999.9999999995</v>
      </c>
      <c r="O27" s="28">
        <f>N27/N$29</f>
        <v>9.5238095238095233E-2</v>
      </c>
      <c r="P27" s="29">
        <v>20000000</v>
      </c>
      <c r="Q27" s="73">
        <f>O27*$Q$4</f>
        <v>33333333.333333332</v>
      </c>
      <c r="R27" s="27">
        <v>2</v>
      </c>
      <c r="S27" s="31">
        <f>(Q27/P27)^(1/R27)-1</f>
        <v>0.2909944487358056</v>
      </c>
      <c r="T27" s="32">
        <f>Q27*$N$5/$Q$4</f>
        <v>20000000</v>
      </c>
    </row>
    <row r="28" spans="1:22" x14ac:dyDescent="0.3">
      <c r="A28" s="23"/>
      <c r="B28" s="43"/>
      <c r="C28" s="44"/>
      <c r="D28" s="45"/>
      <c r="E28" s="42"/>
      <c r="F28" s="42"/>
      <c r="G28" s="42"/>
      <c r="H28" s="23"/>
      <c r="I28" s="42"/>
      <c r="J28" s="36"/>
      <c r="K28" s="43"/>
      <c r="L28" s="44"/>
      <c r="M28" s="45"/>
      <c r="N28" s="43"/>
      <c r="O28" s="44"/>
      <c r="P28" s="45"/>
      <c r="Q28" s="43"/>
      <c r="R28" s="44"/>
      <c r="S28" s="45"/>
    </row>
    <row r="29" spans="1:22" x14ac:dyDescent="0.3">
      <c r="A29" s="46" t="s">
        <v>35</v>
      </c>
      <c r="B29" s="47">
        <f>SUM(B7:B28)</f>
        <v>9000000</v>
      </c>
      <c r="C29" s="48">
        <f>SUM(C7:C11)</f>
        <v>1</v>
      </c>
      <c r="D29" s="49">
        <f>SUM(D7:D22)</f>
        <v>9000000</v>
      </c>
      <c r="E29" s="47">
        <f>SUM(E7:E28)</f>
        <v>13000000</v>
      </c>
      <c r="F29" s="50">
        <f>SUM(F7:F22)</f>
        <v>1</v>
      </c>
      <c r="G29" s="51">
        <f>SUM(G7:G15)</f>
        <v>19500000</v>
      </c>
      <c r="H29" s="47">
        <f>SUM(H7:H28)</f>
        <v>16333333.333333332</v>
      </c>
      <c r="I29" s="50">
        <f>SUM(I7:I28)</f>
        <v>0.99999999999999989</v>
      </c>
      <c r="J29" s="52">
        <f>H5</f>
        <v>24500000</v>
      </c>
      <c r="K29" s="47">
        <f>SUM(K7:K22)</f>
        <v>24499999.999999996</v>
      </c>
      <c r="L29" s="50">
        <f>SUM(L7:L22)</f>
        <v>1.0000000000000002</v>
      </c>
      <c r="M29" s="51">
        <f>SUM(M7:M22)</f>
        <v>75000000</v>
      </c>
      <c r="N29" s="47">
        <f>SUM(N7:N27)</f>
        <v>29399999.999999996</v>
      </c>
      <c r="O29" s="50">
        <f>SUM(O7:O27)</f>
        <v>1.0000000000000002</v>
      </c>
      <c r="P29" s="52">
        <f>SUM(P7:P27)</f>
        <v>210000000.00000003</v>
      </c>
      <c r="Q29" s="74">
        <f>SUM(Q7:Q27)</f>
        <v>350000000</v>
      </c>
      <c r="R29" s="50"/>
      <c r="S29" s="52"/>
    </row>
    <row r="30" spans="1:22" x14ac:dyDescent="0.3">
      <c r="B30" s="32"/>
      <c r="C30" s="33"/>
      <c r="D30" s="53"/>
      <c r="E30" s="54"/>
      <c r="F30" s="33"/>
      <c r="G30" s="53"/>
      <c r="H30" s="54"/>
      <c r="I30" s="33"/>
      <c r="J30" s="53"/>
    </row>
    <row r="31" spans="1:22" ht="15" thickBot="1" x14ac:dyDescent="0.35">
      <c r="A31" s="55" t="s">
        <v>36</v>
      </c>
      <c r="B31" s="56" t="s">
        <v>37</v>
      </c>
      <c r="C31" s="57" t="s">
        <v>18</v>
      </c>
      <c r="D31" s="56" t="s">
        <v>38</v>
      </c>
      <c r="E31" s="56" t="s">
        <v>37</v>
      </c>
      <c r="F31" s="57" t="s">
        <v>18</v>
      </c>
      <c r="G31" s="56" t="s">
        <v>38</v>
      </c>
      <c r="H31" s="56" t="s">
        <v>37</v>
      </c>
      <c r="I31" s="57" t="s">
        <v>18</v>
      </c>
      <c r="J31" s="56" t="s">
        <v>38</v>
      </c>
      <c r="K31" s="56" t="s">
        <v>37</v>
      </c>
      <c r="L31" s="57" t="s">
        <v>18</v>
      </c>
      <c r="M31" s="56" t="s">
        <v>38</v>
      </c>
      <c r="N31" s="56" t="s">
        <v>37</v>
      </c>
      <c r="O31" s="57" t="s">
        <v>18</v>
      </c>
      <c r="P31" s="56" t="s">
        <v>38</v>
      </c>
    </row>
    <row r="32" spans="1:22" x14ac:dyDescent="0.3">
      <c r="A32" s="58" t="s">
        <v>39</v>
      </c>
      <c r="B32" s="59">
        <f>B7</f>
        <v>5000000</v>
      </c>
      <c r="C32" s="60">
        <f>B32/B38</f>
        <v>0.55555555555555558</v>
      </c>
      <c r="D32" s="61"/>
      <c r="E32" s="59">
        <f>E7</f>
        <v>5000000</v>
      </c>
      <c r="F32" s="60">
        <f>E32/E38</f>
        <v>0.38461538461538464</v>
      </c>
      <c r="G32" s="61"/>
      <c r="H32" s="59">
        <f>H7</f>
        <v>5000000</v>
      </c>
      <c r="I32" s="60">
        <f>H32/H38</f>
        <v>0.30612244897959179</v>
      </c>
      <c r="J32" s="61"/>
      <c r="K32" s="59">
        <f>K7</f>
        <v>5000000</v>
      </c>
      <c r="L32" s="60">
        <f>K32/K38</f>
        <v>0.20408163265306123</v>
      </c>
      <c r="M32" s="61"/>
      <c r="N32" s="59">
        <f>N7</f>
        <v>5000000</v>
      </c>
      <c r="O32" s="60">
        <f>N32/N38</f>
        <v>0.17006802721088435</v>
      </c>
      <c r="P32" s="61"/>
    </row>
    <row r="33" spans="1:16" x14ac:dyDescent="0.3">
      <c r="A33" s="62" t="s">
        <v>26</v>
      </c>
      <c r="B33" s="63">
        <f>SUMIF($A$7:$A$27,$A$33,B7:B27)</f>
        <v>1500000</v>
      </c>
      <c r="C33" s="64">
        <f>B33/B38</f>
        <v>0.16666666666666666</v>
      </c>
      <c r="D33" s="65">
        <f>$B$3*B33</f>
        <v>1500000</v>
      </c>
      <c r="E33" s="63">
        <f>SUMIF($A$7:$A$27,$A$33,E7:E27)</f>
        <v>3000000</v>
      </c>
      <c r="F33" s="64">
        <f>E33/E38</f>
        <v>0.23076923076923078</v>
      </c>
      <c r="G33" s="65">
        <f>D33+G13</f>
        <v>3750000</v>
      </c>
      <c r="H33" s="63">
        <f>SUMIF($A$7:$A$27,$A$33,H7:H27)</f>
        <v>4666666.666666667</v>
      </c>
      <c r="I33" s="64">
        <f>H33/H38</f>
        <v>0.2857142857142857</v>
      </c>
      <c r="J33" s="65">
        <f>G33+J17</f>
        <v>6250000</v>
      </c>
      <c r="K33" s="63">
        <f>SUMIF($A$7:$A$27,$A$33,K7:K27)</f>
        <v>6300000</v>
      </c>
      <c r="L33" s="64">
        <f>K33/K38</f>
        <v>0.25714285714285712</v>
      </c>
      <c r="M33" s="65">
        <f>J33+M20</f>
        <v>11250000</v>
      </c>
      <c r="N33" s="63">
        <f>SUMIF($A$7:$A$27,$A$33,N7:N27)</f>
        <v>7000000</v>
      </c>
      <c r="O33" s="64">
        <f>N33/N38</f>
        <v>0.23809523809523808</v>
      </c>
      <c r="P33" s="65">
        <f>M33+P24</f>
        <v>16250000</v>
      </c>
    </row>
    <row r="34" spans="1:16" x14ac:dyDescent="0.3">
      <c r="A34" s="62" t="s">
        <v>27</v>
      </c>
      <c r="B34" s="63">
        <f>SUMIF($A$7:$A$27,$A$34,B7:B27)</f>
        <v>1500000</v>
      </c>
      <c r="C34" s="64">
        <f>B34/B38</f>
        <v>0.16666666666666666</v>
      </c>
      <c r="D34" s="65">
        <f>$B$3*B34</f>
        <v>1500000</v>
      </c>
      <c r="E34" s="63">
        <f>SUMIF($A$7:$A$27,$A$34,E7:E27)</f>
        <v>3000000</v>
      </c>
      <c r="F34" s="64">
        <f>E34/E38</f>
        <v>0.23076923076923078</v>
      </c>
      <c r="G34" s="65">
        <f>D34+G14</f>
        <v>3750000</v>
      </c>
      <c r="H34" s="63">
        <f>SUMIF($A$7:$A$27,$A$34,H7:H27)</f>
        <v>4666666.666666667</v>
      </c>
      <c r="I34" s="64">
        <f>H34/H38</f>
        <v>0.2857142857142857</v>
      </c>
      <c r="J34" s="65">
        <f>G34+J18</f>
        <v>6250000</v>
      </c>
      <c r="K34" s="63">
        <f>SUMIF($A$7:$A$27,$A$34,K7:K27)</f>
        <v>6300000</v>
      </c>
      <c r="L34" s="64">
        <f>K34/K38</f>
        <v>0.25714285714285712</v>
      </c>
      <c r="M34" s="65">
        <f>J34+M21</f>
        <v>11250000</v>
      </c>
      <c r="N34" s="63">
        <f>SUMIF($A$7:$A$27,$A$34,N7:N27)</f>
        <v>7000000</v>
      </c>
      <c r="O34" s="64">
        <f>N34/N38</f>
        <v>0.23809523809523808</v>
      </c>
      <c r="P34" s="65">
        <f>M34+P25</f>
        <v>16250000</v>
      </c>
    </row>
    <row r="35" spans="1:16" x14ac:dyDescent="0.3">
      <c r="A35" s="62" t="s">
        <v>28</v>
      </c>
      <c r="B35" s="63">
        <f>SUMIF($A$7:$A$27,$A$35,B7:B27)</f>
        <v>1000000</v>
      </c>
      <c r="C35" s="64">
        <f>B35/B38</f>
        <v>0.1111111111111111</v>
      </c>
      <c r="D35" s="65">
        <f>$B$3*B35</f>
        <v>1000000</v>
      </c>
      <c r="E35" s="63">
        <f>SUMIF($A$7:$A$27,$A$35,E7:E27)</f>
        <v>2000000</v>
      </c>
      <c r="F35" s="64">
        <f>E35/E38</f>
        <v>0.15384615384615385</v>
      </c>
      <c r="G35" s="65">
        <f>D35+G15</f>
        <v>2500000</v>
      </c>
      <c r="H35" s="63">
        <f>SUMIF($A$7:$A$27,$A$35,H7:H27)</f>
        <v>2000000</v>
      </c>
      <c r="I35" s="64">
        <f>H35/H38</f>
        <v>0.12244897959183672</v>
      </c>
      <c r="J35" s="65">
        <f>G35+J19</f>
        <v>2500000</v>
      </c>
      <c r="K35" s="63">
        <f>SUMIF($A$7:$A$27,$A$35,K7:K27)</f>
        <v>2000000</v>
      </c>
      <c r="L35" s="64">
        <f>K35/K38</f>
        <v>8.1632653061224483E-2</v>
      </c>
      <c r="M35" s="65">
        <f>J35</f>
        <v>2500000</v>
      </c>
      <c r="N35" s="63">
        <f>SUMIF($A$7:$A$27,$A$35,N7:N27)</f>
        <v>2000000</v>
      </c>
      <c r="O35" s="64">
        <f>N35/N38</f>
        <v>6.8027210884353748E-2</v>
      </c>
      <c r="P35" s="65">
        <f>M35</f>
        <v>2500000</v>
      </c>
    </row>
    <row r="36" spans="1:16" x14ac:dyDescent="0.3">
      <c r="A36" s="66" t="s">
        <v>32</v>
      </c>
      <c r="B36" s="63">
        <f>SUMIF($A$7:$A$27,$A$36,B7:B27)</f>
        <v>0</v>
      </c>
      <c r="C36" s="64">
        <f>B36/B38</f>
        <v>0</v>
      </c>
      <c r="D36" s="65">
        <f>$B$3*B36</f>
        <v>0</v>
      </c>
      <c r="E36" s="63">
        <f>SUMIF($A$7:$A$27,$A$36,E7:E27)</f>
        <v>0</v>
      </c>
      <c r="F36" s="64">
        <f>E36/E38</f>
        <v>0</v>
      </c>
      <c r="G36" s="65">
        <f>D36+G16</f>
        <v>0</v>
      </c>
      <c r="H36" s="63">
        <f>SUMIF($A$7:$A$27,$A$36,H7:H27)</f>
        <v>0</v>
      </c>
      <c r="I36" s="64">
        <f>H36/H38</f>
        <v>0</v>
      </c>
      <c r="J36" s="65">
        <f>G36+J20</f>
        <v>0</v>
      </c>
      <c r="K36" s="63">
        <f>SUMIF($A$7:$A$27,$A$36,K7:K27)</f>
        <v>4900000</v>
      </c>
      <c r="L36" s="64">
        <f>K36/K38</f>
        <v>0.2</v>
      </c>
      <c r="M36" s="65">
        <f>M22</f>
        <v>15000000</v>
      </c>
      <c r="N36" s="63">
        <f>SUMIF($A$7:$A$27,$A$36,N7:N27)</f>
        <v>5600000</v>
      </c>
      <c r="O36" s="64">
        <f>N36/N38</f>
        <v>0.19047619047619047</v>
      </c>
      <c r="P36" s="65">
        <f>M36+P26</f>
        <v>20000000</v>
      </c>
    </row>
    <row r="37" spans="1:16" ht="15" thickBot="1" x14ac:dyDescent="0.35">
      <c r="A37" s="66" t="s">
        <v>34</v>
      </c>
      <c r="B37" s="63">
        <f>SUMIF($A$7:$A$27,$A$37,B7:B27)</f>
        <v>0</v>
      </c>
      <c r="C37" s="64">
        <f>B37/B38</f>
        <v>0</v>
      </c>
      <c r="D37" s="65">
        <f>$B$3*B37</f>
        <v>0</v>
      </c>
      <c r="E37" s="63">
        <f>SUMIF($A$7:$A$27,$A$37,E7:E27)</f>
        <v>0</v>
      </c>
      <c r="F37" s="64">
        <f>E37/E38</f>
        <v>0</v>
      </c>
      <c r="G37" s="65">
        <f>D37+G17</f>
        <v>0</v>
      </c>
      <c r="H37" s="63">
        <f>SUMIF($A$7:$A$27,$A$37,H7:H27)</f>
        <v>0</v>
      </c>
      <c r="I37" s="64">
        <f>H37/H38</f>
        <v>0</v>
      </c>
      <c r="J37" s="65">
        <f>G37+J21</f>
        <v>0</v>
      </c>
      <c r="K37" s="63">
        <f>SUMIF($A$7:$A$27,$A$37,K7:K27)</f>
        <v>0</v>
      </c>
      <c r="L37" s="64">
        <f>K37/K38</f>
        <v>0</v>
      </c>
      <c r="M37" s="65">
        <f>J37</f>
        <v>0</v>
      </c>
      <c r="N37" s="63">
        <f>SUMIF($A$7:$A$27,$A$37,N7:N27)</f>
        <v>2799999.9999999995</v>
      </c>
      <c r="O37" s="64">
        <f>N37/N38</f>
        <v>9.5238095238095219E-2</v>
      </c>
      <c r="P37" s="65">
        <f>M37+P27</f>
        <v>20000000</v>
      </c>
    </row>
    <row r="38" spans="1:16" ht="15" thickBot="1" x14ac:dyDescent="0.35">
      <c r="A38" s="67" t="s">
        <v>40</v>
      </c>
      <c r="B38" s="68">
        <f t="shared" ref="B38:P38" si="2">SUM(B32:B37)</f>
        <v>9000000</v>
      </c>
      <c r="C38" s="69">
        <f t="shared" si="2"/>
        <v>1</v>
      </c>
      <c r="D38" s="70">
        <f t="shared" si="2"/>
        <v>4000000</v>
      </c>
      <c r="E38" s="68">
        <f t="shared" si="2"/>
        <v>13000000</v>
      </c>
      <c r="F38" s="69">
        <f t="shared" si="2"/>
        <v>1</v>
      </c>
      <c r="G38" s="70">
        <f t="shared" si="2"/>
        <v>10000000</v>
      </c>
      <c r="H38" s="68">
        <f t="shared" si="2"/>
        <v>16333333.333333336</v>
      </c>
      <c r="I38" s="69">
        <f t="shared" si="2"/>
        <v>1</v>
      </c>
      <c r="J38" s="70">
        <f t="shared" si="2"/>
        <v>15000000</v>
      </c>
      <c r="K38" s="68">
        <f t="shared" si="2"/>
        <v>24500000</v>
      </c>
      <c r="L38" s="69">
        <f t="shared" si="2"/>
        <v>1</v>
      </c>
      <c r="M38" s="70">
        <f t="shared" si="2"/>
        <v>40000000</v>
      </c>
      <c r="N38" s="68">
        <f t="shared" si="2"/>
        <v>29400000</v>
      </c>
      <c r="O38" s="69">
        <f t="shared" si="2"/>
        <v>1</v>
      </c>
      <c r="P38" s="71">
        <f t="shared" si="2"/>
        <v>75000000</v>
      </c>
    </row>
  </sheetData>
  <mergeCells count="30">
    <mergeCell ref="E3:G3"/>
    <mergeCell ref="K3:M3"/>
    <mergeCell ref="N3:P3"/>
    <mergeCell ref="H3:J3"/>
    <mergeCell ref="B4:D4"/>
    <mergeCell ref="E4:G4"/>
    <mergeCell ref="K4:M4"/>
    <mergeCell ref="N4:P4"/>
    <mergeCell ref="Q1:S1"/>
    <mergeCell ref="Q2:S2"/>
    <mergeCell ref="Q3:S3"/>
    <mergeCell ref="Q4:S4"/>
    <mergeCell ref="B1:D1"/>
    <mergeCell ref="E1:G1"/>
    <mergeCell ref="N1:P1"/>
    <mergeCell ref="K1:M1"/>
    <mergeCell ref="H1:J1"/>
    <mergeCell ref="H4:J4"/>
    <mergeCell ref="B2:D2"/>
    <mergeCell ref="E2:G2"/>
    <mergeCell ref="K2:M2"/>
    <mergeCell ref="N2:P2"/>
    <mergeCell ref="H2:J2"/>
    <mergeCell ref="B3:D3"/>
    <mergeCell ref="Q5:S5"/>
    <mergeCell ref="B5:D5"/>
    <mergeCell ref="E5:G5"/>
    <mergeCell ref="K5:M5"/>
    <mergeCell ref="N5:P5"/>
    <mergeCell ref="H5:J5"/>
  </mergeCells>
  <phoneticPr fontId="19" type="noConversion"/>
  <pageMargins left="0.7" right="0.7" top="0.75" bottom="0.75" header="0.3" footer="0.3"/>
  <pageSetup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Option value</vt:lpstr>
      <vt:lpstr>Original Cap Table</vt:lpstr>
      <vt:lpstr>New Cap table</vt:lpstr>
      <vt:lpstr>IRR</vt:lpstr>
      <vt:lpstr>IRR!Print_Area</vt:lpstr>
      <vt:lpstr>'New Cap table'!Print_Area</vt:lpstr>
      <vt:lpstr>'Original Cap Table'!Print_Area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</dc:creator>
  <cp:lastModifiedBy>Francisco Queiró</cp:lastModifiedBy>
  <dcterms:created xsi:type="dcterms:W3CDTF">2017-02-25T10:31:27Z</dcterms:created>
  <dcterms:modified xsi:type="dcterms:W3CDTF">2025-03-12T20:15:52Z</dcterms:modified>
</cp:coreProperties>
</file>