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ga\Dropbox\Nova SBE\Nova SBE Teaching\Advanced Financial Management\Fall 2023-2024\Lecture 02\Lecture - video\"/>
    </mc:Choice>
  </mc:AlternateContent>
  <xr:revisionPtr revIDLastSave="0" documentId="13_ncr:1_{ADAEC976-4E72-43EF-B00F-BEB98D9BCB6B}" xr6:coauthVersionLast="47" xr6:coauthVersionMax="47" xr10:uidLastSave="{00000000-0000-0000-0000-000000000000}"/>
  <bookViews>
    <workbookView xWindow="-98" yWindow="-98" windowWidth="19396" windowHeight="10276" xr2:uid="{00000000-000D-0000-FFFF-FFFF00000000}"/>
  </bookViews>
  <sheets>
    <sheet name="Time Value of Money" sheetId="2" r:id="rId1"/>
  </sheets>
  <definedNames>
    <definedName name="solver_eng" localSheetId="0" hidden="1">1</definedName>
    <definedName name="solver_neg" localSheetId="0" hidden="1">1</definedName>
    <definedName name="solver_num" localSheetId="0" hidden="1">0</definedName>
    <definedName name="solver_opt" localSheetId="0" hidden="1">'Time Value of Money'!#REF!</definedName>
    <definedName name="solver_typ" localSheetId="0" hidden="1">3</definedName>
    <definedName name="solver_val" localSheetId="0" hidden="1">0</definedName>
    <definedName name="solver_ver" localSheetId="0" hidden="1">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41" i="2" l="1"/>
  <c r="E239" i="2"/>
  <c r="E237" i="2"/>
  <c r="E145" i="2"/>
  <c r="E148" i="2" s="1"/>
  <c r="E240" i="2" l="1"/>
  <c r="E149" i="2" l="1"/>
  <c r="H235" i="2" l="1"/>
  <c r="E121" i="2"/>
  <c r="F123" i="2" s="1"/>
  <c r="F124" i="2" s="1"/>
  <c r="E225" i="2" l="1"/>
  <c r="E226" i="2" s="1"/>
  <c r="E227" i="2" s="1"/>
  <c r="I235" i="2"/>
  <c r="F172" i="2"/>
  <c r="F171" i="2"/>
  <c r="E123" i="2"/>
  <c r="E124" i="2" s="1"/>
  <c r="F98" i="2"/>
  <c r="F99" i="2"/>
  <c r="F105" i="2"/>
  <c r="F104" i="2"/>
  <c r="F93" i="2"/>
  <c r="F92" i="2"/>
  <c r="D85" i="2"/>
  <c r="D84" i="2"/>
  <c r="D66" i="2"/>
  <c r="G64" i="2" s="1"/>
  <c r="H64" i="2" s="1"/>
  <c r="D55" i="2"/>
  <c r="D56" i="2" s="1"/>
  <c r="D59" i="2" s="1"/>
  <c r="D60" i="2" s="1"/>
  <c r="G58" i="2" s="1"/>
  <c r="H58" i="2" s="1"/>
  <c r="D46" i="2"/>
  <c r="D33" i="2"/>
  <c r="D36" i="2" s="1"/>
  <c r="G35" i="2" s="1"/>
  <c r="H35" i="2" s="1"/>
  <c r="E18" i="2"/>
  <c r="D26" i="2"/>
  <c r="G25" i="2" s="1"/>
  <c r="H25" i="2" s="1"/>
  <c r="D18" i="2"/>
  <c r="D8" i="2"/>
  <c r="D47" i="2" l="1"/>
  <c r="D48" i="2" s="1"/>
  <c r="E48" i="2"/>
  <c r="E162" i="2"/>
  <c r="E163" i="2" s="1"/>
  <c r="E154" i="2"/>
  <c r="E208" i="2"/>
  <c r="E207" i="2"/>
  <c r="E189" i="2"/>
  <c r="E196" i="2" l="1"/>
  <c r="E190" i="2"/>
  <c r="E213" i="2"/>
  <c r="E209" i="2"/>
  <c r="E155" i="2"/>
  <c r="F154" i="2"/>
  <c r="D74" i="2"/>
  <c r="D76" i="2" s="1"/>
</calcChain>
</file>

<file path=xl/sharedStrings.xml><?xml version="1.0" encoding="utf-8"?>
<sst xmlns="http://schemas.openxmlformats.org/spreadsheetml/2006/main" count="130" uniqueCount="67">
  <si>
    <t>Present Value</t>
  </si>
  <si>
    <t>FV</t>
  </si>
  <si>
    <t>Interest</t>
  </si>
  <si>
    <t>PV</t>
  </si>
  <si>
    <t>Bidder A</t>
  </si>
  <si>
    <t>Bidder B</t>
  </si>
  <si>
    <t>Payment</t>
  </si>
  <si>
    <t>N/A</t>
  </si>
  <si>
    <t>Maturity</t>
  </si>
  <si>
    <t>Now</t>
  </si>
  <si>
    <t>Sell the board to bidder B.</t>
  </si>
  <si>
    <t>Initial Investment</t>
  </si>
  <si>
    <t>Rate</t>
  </si>
  <si>
    <t>Target</t>
  </si>
  <si>
    <t>check</t>
  </si>
  <si>
    <t>T</t>
  </si>
  <si>
    <t>r (SA)</t>
  </si>
  <si>
    <t>num pay per y</t>
  </si>
  <si>
    <t>C*(1+EAR)^4 = 50000</t>
  </si>
  <si>
    <t>&gt;&gt; C= 50000/(1+EAR)^4</t>
  </si>
  <si>
    <t>EAR</t>
  </si>
  <si>
    <t>Num years</t>
  </si>
  <si>
    <t>C</t>
  </si>
  <si>
    <t>years</t>
  </si>
  <si>
    <t>Rm</t>
  </si>
  <si>
    <t>In 5 years</t>
  </si>
  <si>
    <t>SAR</t>
  </si>
  <si>
    <t>Inicial Investment</t>
  </si>
  <si>
    <t>Quarters</t>
  </si>
  <si>
    <t>Receivable</t>
  </si>
  <si>
    <t>Interest Rate</t>
  </si>
  <si>
    <t>Interest rates</t>
  </si>
  <si>
    <t xml:space="preserve">  </t>
  </si>
  <si>
    <t>Annual rate</t>
  </si>
  <si>
    <t>Equivalent rate</t>
  </si>
  <si>
    <t>Prefer second option</t>
  </si>
  <si>
    <t>Annuities</t>
  </si>
  <si>
    <t>T (From Now)</t>
  </si>
  <si>
    <t>T (first payment)</t>
  </si>
  <si>
    <t>T (Investment)</t>
  </si>
  <si>
    <t>The amount is deposited earlier, so saved amount will increase</t>
  </si>
  <si>
    <t>Salary</t>
  </si>
  <si>
    <t>Saving rate</t>
  </si>
  <si>
    <t>g</t>
  </si>
  <si>
    <t>APR</t>
  </si>
  <si>
    <t>Should not switch accounts</t>
  </si>
  <si>
    <t>Interest rate</t>
  </si>
  <si>
    <t>In 50 years</t>
  </si>
  <si>
    <t>PV of 1000000</t>
  </si>
  <si>
    <t>Monthly rate</t>
  </si>
  <si>
    <t>Loan</t>
  </si>
  <si>
    <t>Deposit</t>
  </si>
  <si>
    <t>Years (PP)</t>
  </si>
  <si>
    <t>Years (Start receive)</t>
  </si>
  <si>
    <t>Iinterest rate</t>
  </si>
  <si>
    <t>PV of savings</t>
  </si>
  <si>
    <t>FV of savings</t>
  </si>
  <si>
    <t>Annual pension</t>
  </si>
  <si>
    <t>209348 = C/5%*(1-1/1.05^20)</t>
  </si>
  <si>
    <t>Num mon</t>
  </si>
  <si>
    <t>Sallary</t>
  </si>
  <si>
    <t>Check</t>
  </si>
  <si>
    <t>Proportional rate</t>
  </si>
  <si>
    <t>--&gt;</t>
  </si>
  <si>
    <t>PV (month #1)</t>
  </si>
  <si>
    <t>1000000/1.03^50 = C/3%*(1-1/1.03^46)*(1/1.03^4)</t>
  </si>
  <si>
    <t>r_m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</si>
</sst>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-* #,##0.00\ _€_-;\-* #,##0.00\ _€_-;_-* &quot;-&quot;??\ _€_-;_-@_-"/>
    <numFmt numFmtId="165" formatCode="0.0%"/>
    <numFmt numFmtId="166" formatCode="_-* #,##0.0_-;\-* #,##0.0_-;_-* &quot;-&quot;??_-;_-@_-"/>
    <numFmt numFmtId="167" formatCode="0.0"/>
    <numFmt numFmtId="168" formatCode="_-* #,##0.000\ _€_-;\-* #,##0.000\ _€_-;_-* &quot;-&quot;??\ _€_-;_-@_-"/>
    <numFmt numFmtId="169" formatCode="_-* #,##0.000000000000\ _€_-;\-* #,##0.000000000000\ _€_-;_-* &quot;-&quot;??\ _€_-;_-@_-"/>
    <numFmt numFmtId="170" formatCode="0.000%"/>
    <numFmt numFmtId="171" formatCode="_-* #,##0.0000\ _€_-;\-* #,##0.0000\ _€_-;_-* &quot;-&quot;?\ _€_-;_-@_-"/>
    <numFmt numFmtId="172" formatCode="_-* #,##0_-;\-* #,##0_-;_-* &quot;-&quot;??_-;_-@_-"/>
    <numFmt numFmtId="173" formatCode="0.0000%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2">
    <xf numFmtId="0" fontId="0" fillId="0" borderId="0" xfId="0"/>
    <xf numFmtId="0" fontId="2" fillId="2" borderId="0" xfId="0" applyFont="1" applyFill="1"/>
    <xf numFmtId="0" fontId="3" fillId="0" borderId="0" xfId="0" applyFont="1" applyAlignment="1">
      <alignment horizontal="right"/>
    </xf>
    <xf numFmtId="0" fontId="4" fillId="0" borderId="0" xfId="0" applyFont="1"/>
    <xf numFmtId="0" fontId="5" fillId="0" borderId="0" xfId="0" applyFont="1"/>
    <xf numFmtId="0" fontId="4" fillId="0" borderId="1" xfId="0" applyFont="1" applyBorder="1"/>
    <xf numFmtId="10" fontId="5" fillId="0" borderId="0" xfId="2" applyNumberFormat="1" applyFont="1"/>
    <xf numFmtId="165" fontId="4" fillId="0" borderId="0" xfId="2" applyNumberFormat="1" applyFont="1"/>
    <xf numFmtId="167" fontId="4" fillId="0" borderId="0" xfId="0" applyNumberFormat="1" applyFont="1"/>
    <xf numFmtId="0" fontId="4" fillId="0" borderId="0" xfId="0" applyFont="1" applyAlignment="1">
      <alignment horizontal="center"/>
    </xf>
    <xf numFmtId="0" fontId="4" fillId="2" borderId="0" xfId="0" applyFont="1" applyFill="1"/>
    <xf numFmtId="9" fontId="4" fillId="0" borderId="0" xfId="0" applyNumberFormat="1" applyFont="1"/>
    <xf numFmtId="10" fontId="4" fillId="0" borderId="0" xfId="2" applyNumberFormat="1" applyFont="1"/>
    <xf numFmtId="43" fontId="5" fillId="0" borderId="0" xfId="1" applyFont="1"/>
    <xf numFmtId="165" fontId="4" fillId="0" borderId="0" xfId="0" applyNumberFormat="1" applyFont="1"/>
    <xf numFmtId="167" fontId="5" fillId="0" borderId="0" xfId="0" applyNumberFormat="1" applyFont="1"/>
    <xf numFmtId="10" fontId="4" fillId="0" borderId="0" xfId="0" applyNumberFormat="1" applyFont="1"/>
    <xf numFmtId="166" fontId="4" fillId="0" borderId="0" xfId="1" applyNumberFormat="1" applyFont="1"/>
    <xf numFmtId="166" fontId="5" fillId="0" borderId="0" xfId="1" applyNumberFormat="1" applyFont="1"/>
    <xf numFmtId="0" fontId="2" fillId="0" borderId="0" xfId="0" applyFont="1"/>
    <xf numFmtId="0" fontId="6" fillId="2" borderId="0" xfId="0" applyFont="1" applyFill="1"/>
    <xf numFmtId="9" fontId="5" fillId="0" borderId="0" xfId="0" applyNumberFormat="1" applyFont="1"/>
    <xf numFmtId="9" fontId="4" fillId="0" borderId="0" xfId="0" applyNumberFormat="1" applyFont="1" applyAlignment="1">
      <alignment horizontal="center"/>
    </xf>
    <xf numFmtId="0" fontId="5" fillId="3" borderId="0" xfId="0" applyFont="1" applyFill="1"/>
    <xf numFmtId="2" fontId="5" fillId="3" borderId="0" xfId="0" applyNumberFormat="1" applyFont="1" applyFill="1"/>
    <xf numFmtId="43" fontId="5" fillId="3" borderId="0" xfId="1" applyFont="1" applyFill="1"/>
    <xf numFmtId="0" fontId="5" fillId="4" borderId="0" xfId="0" applyFont="1" applyFill="1"/>
    <xf numFmtId="164" fontId="5" fillId="4" borderId="0" xfId="0" applyNumberFormat="1" applyFont="1" applyFill="1"/>
    <xf numFmtId="167" fontId="5" fillId="3" borderId="0" xfId="0" applyNumberFormat="1" applyFont="1" applyFill="1"/>
    <xf numFmtId="169" fontId="4" fillId="0" borderId="0" xfId="0" applyNumberFormat="1" applyFont="1"/>
    <xf numFmtId="10" fontId="5" fillId="3" borderId="0" xfId="2" applyNumberFormat="1" applyFont="1" applyFill="1"/>
    <xf numFmtId="170" fontId="4" fillId="3" borderId="0" xfId="2" applyNumberFormat="1" applyFont="1" applyFill="1"/>
    <xf numFmtId="168" fontId="5" fillId="4" borderId="0" xfId="0" applyNumberFormat="1" applyFont="1" applyFill="1"/>
    <xf numFmtId="0" fontId="4" fillId="5" borderId="0" xfId="0" applyFont="1" applyFill="1"/>
    <xf numFmtId="166" fontId="5" fillId="3" borderId="0" xfId="1" applyNumberFormat="1" applyFont="1" applyFill="1"/>
    <xf numFmtId="171" fontId="5" fillId="3" borderId="0" xfId="0" applyNumberFormat="1" applyFont="1" applyFill="1"/>
    <xf numFmtId="4" fontId="4" fillId="0" borderId="1" xfId="0" applyNumberFormat="1" applyFont="1" applyBorder="1"/>
    <xf numFmtId="4" fontId="5" fillId="3" borderId="0" xfId="0" applyNumberFormat="1" applyFont="1" applyFill="1"/>
    <xf numFmtId="10" fontId="5" fillId="0" borderId="0" xfId="2" applyNumberFormat="1" applyFont="1" applyFill="1"/>
    <xf numFmtId="4" fontId="4" fillId="0" borderId="0" xfId="0" applyNumberFormat="1" applyFont="1"/>
    <xf numFmtId="0" fontId="4" fillId="0" borderId="0" xfId="0" quotePrefix="1" applyFont="1"/>
    <xf numFmtId="164" fontId="4" fillId="0" borderId="0" xfId="0" applyNumberFormat="1" applyFont="1"/>
    <xf numFmtId="0" fontId="4" fillId="7" borderId="0" xfId="0" applyFont="1" applyFill="1"/>
    <xf numFmtId="172" fontId="4" fillId="7" borderId="0" xfId="0" applyNumberFormat="1" applyFont="1" applyFill="1"/>
    <xf numFmtId="3" fontId="4" fillId="7" borderId="0" xfId="0" applyNumberFormat="1" applyFont="1" applyFill="1"/>
    <xf numFmtId="0" fontId="5" fillId="7" borderId="0" xfId="0" applyFont="1" applyFill="1"/>
    <xf numFmtId="166" fontId="5" fillId="7" borderId="0" xfId="1" applyNumberFormat="1" applyFont="1" applyFill="1"/>
    <xf numFmtId="4" fontId="4" fillId="7" borderId="0" xfId="0" applyNumberFormat="1" applyFont="1" applyFill="1"/>
    <xf numFmtId="17" fontId="4" fillId="7" borderId="0" xfId="0" applyNumberFormat="1" applyFont="1" applyFill="1"/>
    <xf numFmtId="172" fontId="5" fillId="7" borderId="0" xfId="1" applyNumberFormat="1" applyFont="1" applyFill="1"/>
    <xf numFmtId="3" fontId="5" fillId="7" borderId="0" xfId="0" applyNumberFormat="1" applyFont="1" applyFill="1"/>
    <xf numFmtId="173" fontId="4" fillId="6" borderId="0" xfId="2" applyNumberFormat="1" applyFont="1" applyFill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66678</xdr:rowOff>
    </xdr:from>
    <xdr:to>
      <xdr:col>7</xdr:col>
      <xdr:colOff>856402</xdr:colOff>
      <xdr:row>4</xdr:row>
      <xdr:rowOff>146153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390528"/>
          <a:ext cx="6120000" cy="4033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8</xdr:row>
      <xdr:rowOff>133350</xdr:rowOff>
    </xdr:from>
    <xdr:to>
      <xdr:col>7</xdr:col>
      <xdr:colOff>856402</xdr:colOff>
      <xdr:row>12</xdr:row>
      <xdr:rowOff>56382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" y="1104900"/>
          <a:ext cx="6120000" cy="570732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19</xdr:row>
      <xdr:rowOff>0</xdr:rowOff>
    </xdr:from>
    <xdr:to>
      <xdr:col>7</xdr:col>
      <xdr:colOff>856402</xdr:colOff>
      <xdr:row>21</xdr:row>
      <xdr:rowOff>102723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2266950"/>
          <a:ext cx="6120000" cy="426572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26</xdr:row>
      <xdr:rowOff>38100</xdr:rowOff>
    </xdr:from>
    <xdr:to>
      <xdr:col>7</xdr:col>
      <xdr:colOff>808777</xdr:colOff>
      <xdr:row>29</xdr:row>
      <xdr:rowOff>145990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1925" y="4369904"/>
          <a:ext cx="6113374" cy="60484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37</xdr:row>
      <xdr:rowOff>47625</xdr:rowOff>
    </xdr:from>
    <xdr:to>
      <xdr:col>7</xdr:col>
      <xdr:colOff>789727</xdr:colOff>
      <xdr:row>41</xdr:row>
      <xdr:rowOff>8398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5" y="4095750"/>
          <a:ext cx="6120000" cy="608473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48</xdr:row>
      <xdr:rowOff>38100</xdr:rowOff>
    </xdr:from>
    <xdr:to>
      <xdr:col>7</xdr:col>
      <xdr:colOff>818302</xdr:colOff>
      <xdr:row>51</xdr:row>
      <xdr:rowOff>159049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1450" y="5867400"/>
          <a:ext cx="6120000" cy="6067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57150</xdr:rowOff>
    </xdr:from>
    <xdr:to>
      <xdr:col>7</xdr:col>
      <xdr:colOff>894502</xdr:colOff>
      <xdr:row>62</xdr:row>
      <xdr:rowOff>136046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7650" y="7505700"/>
          <a:ext cx="6120000" cy="40274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69</xdr:row>
      <xdr:rowOff>9525</xdr:rowOff>
    </xdr:from>
    <xdr:to>
      <xdr:col>7</xdr:col>
      <xdr:colOff>856402</xdr:colOff>
      <xdr:row>71</xdr:row>
      <xdr:rowOff>112247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9550" y="8648700"/>
          <a:ext cx="6120000" cy="426572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85</xdr:row>
      <xdr:rowOff>76200</xdr:rowOff>
    </xdr:from>
    <xdr:to>
      <xdr:col>7</xdr:col>
      <xdr:colOff>865927</xdr:colOff>
      <xdr:row>89</xdr:row>
      <xdr:rowOff>134654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9075" y="10763250"/>
          <a:ext cx="6120000" cy="70615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124</xdr:row>
      <xdr:rowOff>104776</xdr:rowOff>
    </xdr:from>
    <xdr:to>
      <xdr:col>7</xdr:col>
      <xdr:colOff>1149192</xdr:colOff>
      <xdr:row>129</xdr:row>
      <xdr:rowOff>157385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4825" y="16783051"/>
          <a:ext cx="6120000" cy="862235"/>
        </a:xfrm>
        <a:prstGeom prst="rect">
          <a:avLst/>
        </a:prstGeom>
      </xdr:spPr>
    </xdr:pic>
    <xdr:clientData/>
  </xdr:twoCellAnchor>
  <xdr:twoCellAnchor editAs="oneCell">
    <xdr:from>
      <xdr:col>0</xdr:col>
      <xdr:colOff>182216</xdr:colOff>
      <xdr:row>76</xdr:row>
      <xdr:rowOff>107677</xdr:rowOff>
    </xdr:from>
    <xdr:to>
      <xdr:col>7</xdr:col>
      <xdr:colOff>1035325</xdr:colOff>
      <xdr:row>80</xdr:row>
      <xdr:rowOff>157371</xdr:rowOff>
    </xdr:to>
    <xdr:pic>
      <xdr:nvPicPr>
        <xdr:cNvPr id="26" name="Picture 25" descr="Graphical user interface, application&#10;&#10;Description automatically generated">
          <a:extLst>
            <a:ext uri="{FF2B5EF4-FFF2-40B4-BE49-F238E27FC236}">
              <a16:creationId xmlns:a16="http://schemas.microsoft.com/office/drawing/2014/main" id="{E300FE7F-61E0-4108-8999-B8643EA4BAA3}"/>
            </a:ext>
          </a:extLst>
        </xdr:cNvPr>
        <xdr:cNvPicPr/>
      </xdr:nvPicPr>
      <xdr:blipFill rotWithShape="1">
        <a:blip xmlns:r="http://schemas.openxmlformats.org/officeDocument/2006/relationships" r:embed="rId11"/>
        <a:srcRect l="56344" t="42961" r="11395" b="44330"/>
        <a:stretch/>
      </xdr:blipFill>
      <xdr:spPr bwMode="auto">
        <a:xfrm>
          <a:off x="182216" y="12746938"/>
          <a:ext cx="6319631" cy="7123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178077</xdr:colOff>
      <xdr:row>69</xdr:row>
      <xdr:rowOff>4144</xdr:rowOff>
    </xdr:from>
    <xdr:to>
      <xdr:col>7</xdr:col>
      <xdr:colOff>882098</xdr:colOff>
      <xdr:row>71</xdr:row>
      <xdr:rowOff>128519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33A2527-5E61-0471-A0AD-BBB04BA0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8077" y="11467274"/>
          <a:ext cx="6547402" cy="455680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</xdr:colOff>
      <xdr:row>76</xdr:row>
      <xdr:rowOff>111816</xdr:rowOff>
    </xdr:from>
    <xdr:to>
      <xdr:col>7</xdr:col>
      <xdr:colOff>949354</xdr:colOff>
      <xdr:row>80</xdr:row>
      <xdr:rowOff>161511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EDD6EB0-D560-EBCF-9D5C-4FD6AB6C3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1608" y="12734512"/>
          <a:ext cx="6511127" cy="712303"/>
        </a:xfrm>
        <a:prstGeom prst="rect">
          <a:avLst/>
        </a:prstGeom>
      </xdr:spPr>
    </xdr:pic>
    <xdr:clientData/>
  </xdr:twoCellAnchor>
  <xdr:twoCellAnchor editAs="oneCell">
    <xdr:from>
      <xdr:col>0</xdr:col>
      <xdr:colOff>219490</xdr:colOff>
      <xdr:row>85</xdr:row>
      <xdr:rowOff>91112</xdr:rowOff>
    </xdr:from>
    <xdr:to>
      <xdr:col>7</xdr:col>
      <xdr:colOff>861393</xdr:colOff>
      <xdr:row>89</xdr:row>
      <xdr:rowOff>139023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4CDA4CB-46AA-654B-9B64-969D36C20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9490" y="14204677"/>
          <a:ext cx="6485284" cy="710520"/>
        </a:xfrm>
        <a:prstGeom prst="rect">
          <a:avLst/>
        </a:prstGeom>
      </xdr:spPr>
    </xdr:pic>
    <xdr:clientData/>
  </xdr:twoCellAnchor>
  <xdr:twoCellAnchor editAs="oneCell">
    <xdr:from>
      <xdr:col>1</xdr:col>
      <xdr:colOff>37272</xdr:colOff>
      <xdr:row>92</xdr:row>
      <xdr:rowOff>153229</xdr:rowOff>
    </xdr:from>
    <xdr:to>
      <xdr:col>7</xdr:col>
      <xdr:colOff>906945</xdr:colOff>
      <xdr:row>95</xdr:row>
      <xdr:rowOff>102452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997DC66-7E94-2F41-414F-1AE9A49D2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02315" y="15426359"/>
          <a:ext cx="6448011" cy="446180"/>
        </a:xfrm>
        <a:prstGeom prst="rect">
          <a:avLst/>
        </a:prstGeom>
      </xdr:spPr>
    </xdr:pic>
    <xdr:clientData/>
  </xdr:twoCellAnchor>
  <xdr:twoCellAnchor editAs="oneCell">
    <xdr:from>
      <xdr:col>1</xdr:col>
      <xdr:colOff>140805</xdr:colOff>
      <xdr:row>99</xdr:row>
      <xdr:rowOff>66260</xdr:rowOff>
    </xdr:from>
    <xdr:to>
      <xdr:col>7</xdr:col>
      <xdr:colOff>1064315</xdr:colOff>
      <xdr:row>101</xdr:row>
      <xdr:rowOff>9544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697F030-C268-FBA1-60D7-DE4A99E4D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5848" y="16498956"/>
          <a:ext cx="6501848" cy="274588"/>
        </a:xfrm>
        <a:prstGeom prst="rect">
          <a:avLst/>
        </a:prstGeom>
      </xdr:spPr>
    </xdr:pic>
    <xdr:clientData/>
  </xdr:twoCellAnchor>
  <xdr:twoCellAnchor editAs="oneCell">
    <xdr:from>
      <xdr:col>1</xdr:col>
      <xdr:colOff>194640</xdr:colOff>
      <xdr:row>108</xdr:row>
      <xdr:rowOff>65957</xdr:rowOff>
    </xdr:from>
    <xdr:to>
      <xdr:col>7</xdr:col>
      <xdr:colOff>1089162</xdr:colOff>
      <xdr:row>116</xdr:row>
      <xdr:rowOff>87665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2008C9A-10EB-B010-98F3-96C9264E9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59683" y="17989522"/>
          <a:ext cx="6472860" cy="1346926"/>
        </a:xfrm>
        <a:prstGeom prst="rect">
          <a:avLst/>
        </a:prstGeom>
      </xdr:spPr>
    </xdr:pic>
    <xdr:clientData/>
  </xdr:twoCellAnchor>
  <xdr:twoCellAnchor editAs="oneCell">
    <xdr:from>
      <xdr:col>2</xdr:col>
      <xdr:colOff>49697</xdr:colOff>
      <xdr:row>124</xdr:row>
      <xdr:rowOff>107674</xdr:rowOff>
    </xdr:from>
    <xdr:to>
      <xdr:col>7</xdr:col>
      <xdr:colOff>1151282</xdr:colOff>
      <xdr:row>129</xdr:row>
      <xdr:rowOff>150922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A80F0EE-58C7-0528-A5A9-F241A3FD4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79784" y="20681674"/>
          <a:ext cx="6414879" cy="871509"/>
        </a:xfrm>
        <a:prstGeom prst="rect">
          <a:avLst/>
        </a:prstGeom>
      </xdr:spPr>
    </xdr:pic>
    <xdr:clientData/>
  </xdr:twoCellAnchor>
  <xdr:twoCellAnchor editAs="oneCell">
    <xdr:from>
      <xdr:col>1</xdr:col>
      <xdr:colOff>41415</xdr:colOff>
      <xdr:row>132</xdr:row>
      <xdr:rowOff>46358</xdr:rowOff>
    </xdr:from>
    <xdr:to>
      <xdr:col>7</xdr:col>
      <xdr:colOff>935936</xdr:colOff>
      <xdr:row>141</xdr:row>
      <xdr:rowOff>43010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0282072-1FE2-162A-7E86-3EB777298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6458" y="21945575"/>
          <a:ext cx="6472859" cy="1487522"/>
        </a:xfrm>
        <a:prstGeom prst="rect">
          <a:avLst/>
        </a:prstGeom>
      </xdr:spPr>
    </xdr:pic>
    <xdr:clientData/>
  </xdr:twoCellAnchor>
  <xdr:twoCellAnchor editAs="oneCell">
    <xdr:from>
      <xdr:col>1</xdr:col>
      <xdr:colOff>169795</xdr:colOff>
      <xdr:row>149</xdr:row>
      <xdr:rowOff>159143</xdr:rowOff>
    </xdr:from>
    <xdr:to>
      <xdr:col>7</xdr:col>
      <xdr:colOff>927652</xdr:colOff>
      <xdr:row>152</xdr:row>
      <xdr:rowOff>70360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055B687-B6D3-4FD3-1A67-0A664765C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4838" y="24874447"/>
          <a:ext cx="6336195" cy="408174"/>
        </a:xfrm>
        <a:prstGeom prst="rect">
          <a:avLst/>
        </a:prstGeom>
      </xdr:spPr>
    </xdr:pic>
    <xdr:clientData/>
  </xdr:twoCellAnchor>
  <xdr:twoCellAnchor editAs="oneCell">
    <xdr:from>
      <xdr:col>0</xdr:col>
      <xdr:colOff>248478</xdr:colOff>
      <xdr:row>156</xdr:row>
      <xdr:rowOff>18778</xdr:rowOff>
    </xdr:from>
    <xdr:to>
      <xdr:col>7</xdr:col>
      <xdr:colOff>1147141</xdr:colOff>
      <xdr:row>160</xdr:row>
      <xdr:rowOff>1901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739BE2F-2476-A228-9A38-5EF28272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8478" y="25893648"/>
          <a:ext cx="6742044" cy="645731"/>
        </a:xfrm>
        <a:prstGeom prst="rect">
          <a:avLst/>
        </a:prstGeom>
      </xdr:spPr>
    </xdr:pic>
    <xdr:clientData/>
  </xdr:twoCellAnchor>
  <xdr:twoCellAnchor editAs="oneCell">
    <xdr:from>
      <xdr:col>0</xdr:col>
      <xdr:colOff>240198</xdr:colOff>
      <xdr:row>164</xdr:row>
      <xdr:rowOff>79645</xdr:rowOff>
    </xdr:from>
    <xdr:to>
      <xdr:col>7</xdr:col>
      <xdr:colOff>1138859</xdr:colOff>
      <xdr:row>168</xdr:row>
      <xdr:rowOff>80104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B4CC78D-9981-870F-6E9E-CE1105090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198" y="27279732"/>
          <a:ext cx="6742042" cy="663068"/>
        </a:xfrm>
        <a:prstGeom prst="rect">
          <a:avLst/>
        </a:prstGeom>
      </xdr:spPr>
    </xdr:pic>
    <xdr:clientData/>
  </xdr:twoCellAnchor>
  <xdr:twoCellAnchor editAs="oneCell">
    <xdr:from>
      <xdr:col>1</xdr:col>
      <xdr:colOff>215347</xdr:colOff>
      <xdr:row>172</xdr:row>
      <xdr:rowOff>125897</xdr:rowOff>
    </xdr:from>
    <xdr:to>
      <xdr:col>7</xdr:col>
      <xdr:colOff>975804</xdr:colOff>
      <xdr:row>177</xdr:row>
      <xdr:rowOff>16565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B9D44AD-FC6C-2534-782B-C7CB0131E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80390" y="28651201"/>
          <a:ext cx="6338795" cy="718929"/>
        </a:xfrm>
        <a:prstGeom prst="rect">
          <a:avLst/>
        </a:prstGeom>
      </xdr:spPr>
    </xdr:pic>
    <xdr:clientData/>
  </xdr:twoCellAnchor>
  <xdr:twoCellAnchor editAs="oneCell">
    <xdr:from>
      <xdr:col>1</xdr:col>
      <xdr:colOff>265043</xdr:colOff>
      <xdr:row>176</xdr:row>
      <xdr:rowOff>84606</xdr:rowOff>
    </xdr:from>
    <xdr:to>
      <xdr:col>7</xdr:col>
      <xdr:colOff>993913</xdr:colOff>
      <xdr:row>181</xdr:row>
      <xdr:rowOff>123056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E12390B-D504-49B2-77BE-DF801F66D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30086" y="29272519"/>
          <a:ext cx="6307208" cy="866711"/>
        </a:xfrm>
        <a:prstGeom prst="rect">
          <a:avLst/>
        </a:prstGeom>
      </xdr:spPr>
    </xdr:pic>
    <xdr:clientData/>
  </xdr:twoCellAnchor>
  <xdr:twoCellAnchor editAs="oneCell">
    <xdr:from>
      <xdr:col>1</xdr:col>
      <xdr:colOff>207066</xdr:colOff>
      <xdr:row>190</xdr:row>
      <xdr:rowOff>93389</xdr:rowOff>
    </xdr:from>
    <xdr:to>
      <xdr:col>7</xdr:col>
      <xdr:colOff>1122293</xdr:colOff>
      <xdr:row>194</xdr:row>
      <xdr:rowOff>47621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2F570F98-BEA1-AB5A-BC13-0619DF7B4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72109" y="31600432"/>
          <a:ext cx="6493565" cy="616841"/>
        </a:xfrm>
        <a:prstGeom prst="rect">
          <a:avLst/>
        </a:prstGeom>
      </xdr:spPr>
    </xdr:pic>
    <xdr:clientData/>
  </xdr:twoCellAnchor>
  <xdr:twoCellAnchor editAs="oneCell">
    <xdr:from>
      <xdr:col>1</xdr:col>
      <xdr:colOff>53836</xdr:colOff>
      <xdr:row>197</xdr:row>
      <xdr:rowOff>56103</xdr:rowOff>
    </xdr:from>
    <xdr:to>
      <xdr:col>7</xdr:col>
      <xdr:colOff>1100221</xdr:colOff>
      <xdr:row>205</xdr:row>
      <xdr:rowOff>103533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73615ACB-FA15-47FD-7320-8CA4F9BE8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18879" y="32722712"/>
          <a:ext cx="6624723" cy="1372647"/>
        </a:xfrm>
        <a:prstGeom prst="rect">
          <a:avLst/>
        </a:prstGeom>
      </xdr:spPr>
    </xdr:pic>
    <xdr:clientData/>
  </xdr:twoCellAnchor>
  <xdr:twoCellAnchor editAs="oneCell">
    <xdr:from>
      <xdr:col>1</xdr:col>
      <xdr:colOff>53833</xdr:colOff>
      <xdr:row>209</xdr:row>
      <xdr:rowOff>18112</xdr:rowOff>
    </xdr:from>
    <xdr:to>
      <xdr:col>7</xdr:col>
      <xdr:colOff>1118148</xdr:colOff>
      <xdr:row>211</xdr:row>
      <xdr:rowOff>144413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6B3D07E-C8C6-06CB-F803-8118CDE5B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18876" y="34672547"/>
          <a:ext cx="6642653" cy="457605"/>
        </a:xfrm>
        <a:prstGeom prst="rect">
          <a:avLst/>
        </a:prstGeom>
      </xdr:spPr>
    </xdr:pic>
    <xdr:clientData/>
  </xdr:twoCellAnchor>
  <xdr:twoCellAnchor editAs="oneCell">
    <xdr:from>
      <xdr:col>1</xdr:col>
      <xdr:colOff>124239</xdr:colOff>
      <xdr:row>214</xdr:row>
      <xdr:rowOff>4928</xdr:rowOff>
    </xdr:from>
    <xdr:to>
      <xdr:col>7</xdr:col>
      <xdr:colOff>1151283</xdr:colOff>
      <xdr:row>219</xdr:row>
      <xdr:rowOff>21146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D5D9916-7C0C-7C40-4C06-774D8F7E6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89282" y="35487624"/>
          <a:ext cx="6605382" cy="844479"/>
        </a:xfrm>
        <a:prstGeom prst="rect">
          <a:avLst/>
        </a:prstGeom>
      </xdr:spPr>
    </xdr:pic>
    <xdr:clientData/>
  </xdr:twoCellAnchor>
  <xdr:twoCellAnchor editAs="oneCell">
    <xdr:from>
      <xdr:col>1</xdr:col>
      <xdr:colOff>70403</xdr:colOff>
      <xdr:row>228</xdr:row>
      <xdr:rowOff>49630</xdr:rowOff>
    </xdr:from>
    <xdr:to>
      <xdr:col>7</xdr:col>
      <xdr:colOff>992680</xdr:colOff>
      <xdr:row>232</xdr:row>
      <xdr:rowOff>41413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A441E98D-80C4-D59C-58C2-967B677FD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35446" y="37851456"/>
          <a:ext cx="6500615" cy="6543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K241"/>
  <sheetViews>
    <sheetView showGridLines="0" tabSelected="1" topLeftCell="A228" zoomScale="115" zoomScaleNormal="115" workbookViewId="0">
      <selection activeCell="J245" sqref="J245"/>
    </sheetView>
  </sheetViews>
  <sheetFormatPr defaultColWidth="8.86328125" defaultRowHeight="13.15" x14ac:dyDescent="0.4"/>
  <cols>
    <col min="1" max="2" width="3.73046875" style="3" customWidth="1"/>
    <col min="3" max="3" width="15.265625" style="3" bestFit="1" customWidth="1"/>
    <col min="4" max="5" width="12" style="3" bestFit="1" customWidth="1"/>
    <col min="6" max="6" width="10.3984375" style="3" bestFit="1" customWidth="1"/>
    <col min="7" max="7" width="24.73046875" style="3" bestFit="1" customWidth="1"/>
    <col min="8" max="8" width="22.3984375" style="3" bestFit="1" customWidth="1"/>
    <col min="9" max="9" width="9.265625" style="3" customWidth="1"/>
    <col min="10" max="10" width="6.265625" style="3" customWidth="1"/>
    <col min="11" max="11" width="10.73046875" style="3" customWidth="1"/>
    <col min="12" max="48" width="7.1328125" style="3" customWidth="1"/>
    <col min="49" max="16384" width="8.86328125" style="3"/>
  </cols>
  <sheetData>
    <row r="2" spans="2:5" s="10" customFormat="1" ht="14.25" x14ac:dyDescent="0.45">
      <c r="B2" s="20" t="s">
        <v>0</v>
      </c>
    </row>
    <row r="6" spans="2:5" x14ac:dyDescent="0.4">
      <c r="C6" s="4" t="s">
        <v>1</v>
      </c>
      <c r="D6" s="4">
        <v>100</v>
      </c>
    </row>
    <row r="7" spans="2:5" x14ac:dyDescent="0.4">
      <c r="C7" s="4" t="s">
        <v>2</v>
      </c>
      <c r="D7" s="21">
        <v>0.05</v>
      </c>
    </row>
    <row r="8" spans="2:5" x14ac:dyDescent="0.4">
      <c r="B8" s="2"/>
      <c r="C8" s="4" t="s">
        <v>3</v>
      </c>
      <c r="D8" s="37">
        <f>D6/(1+D7)</f>
        <v>95.238095238095241</v>
      </c>
    </row>
    <row r="9" spans="2:5" x14ac:dyDescent="0.4">
      <c r="B9" s="2"/>
      <c r="C9" s="4"/>
      <c r="D9" s="4"/>
    </row>
    <row r="10" spans="2:5" x14ac:dyDescent="0.4">
      <c r="B10" s="2"/>
      <c r="C10" s="4"/>
      <c r="D10" s="4"/>
    </row>
    <row r="11" spans="2:5" x14ac:dyDescent="0.4">
      <c r="B11" s="2"/>
      <c r="C11" s="4"/>
      <c r="D11" s="4"/>
    </row>
    <row r="12" spans="2:5" x14ac:dyDescent="0.4">
      <c r="D12" s="9"/>
      <c r="E12" s="9"/>
    </row>
    <row r="13" spans="2:5" x14ac:dyDescent="0.4">
      <c r="D13" s="9"/>
      <c r="E13" s="9"/>
    </row>
    <row r="14" spans="2:5" x14ac:dyDescent="0.4">
      <c r="B14" s="2"/>
      <c r="D14" s="9" t="s">
        <v>4</v>
      </c>
      <c r="E14" s="9" t="s">
        <v>5</v>
      </c>
    </row>
    <row r="15" spans="2:5" x14ac:dyDescent="0.4">
      <c r="B15" s="2"/>
      <c r="C15" s="3" t="s">
        <v>6</v>
      </c>
      <c r="D15" s="9">
        <v>200</v>
      </c>
      <c r="E15" s="9">
        <v>220</v>
      </c>
    </row>
    <row r="16" spans="2:5" x14ac:dyDescent="0.4">
      <c r="B16" s="2"/>
      <c r="C16" s="3" t="s">
        <v>2</v>
      </c>
      <c r="D16" s="9" t="s">
        <v>7</v>
      </c>
      <c r="E16" s="22">
        <v>0.03</v>
      </c>
    </row>
    <row r="17" spans="2:13" x14ac:dyDescent="0.4">
      <c r="B17" s="2"/>
      <c r="C17" s="3" t="s">
        <v>8</v>
      </c>
      <c r="D17" s="9" t="s">
        <v>9</v>
      </c>
      <c r="E17" s="9">
        <v>3</v>
      </c>
    </row>
    <row r="18" spans="2:13" x14ac:dyDescent="0.4">
      <c r="C18" s="5" t="s">
        <v>3</v>
      </c>
      <c r="D18" s="5">
        <f>D15</f>
        <v>200</v>
      </c>
      <c r="E18" s="36">
        <f>E15/(1+E16)^E17</f>
        <v>201.3311650576951</v>
      </c>
      <c r="G18" s="23" t="s">
        <v>10</v>
      </c>
    </row>
    <row r="19" spans="2:13" x14ac:dyDescent="0.4">
      <c r="G19" s="4"/>
    </row>
    <row r="20" spans="2:13" x14ac:dyDescent="0.4">
      <c r="G20" s="4"/>
    </row>
    <row r="21" spans="2:13" x14ac:dyDescent="0.4">
      <c r="G21" s="4"/>
    </row>
    <row r="22" spans="2:13" x14ac:dyDescent="0.4">
      <c r="G22" s="4"/>
    </row>
    <row r="23" spans="2:13" x14ac:dyDescent="0.4">
      <c r="C23" s="3" t="s">
        <v>11</v>
      </c>
      <c r="D23" s="3">
        <v>1</v>
      </c>
      <c r="G23" s="4"/>
    </row>
    <row r="24" spans="2:13" x14ac:dyDescent="0.4">
      <c r="C24" s="3" t="s">
        <v>12</v>
      </c>
      <c r="D24" s="11">
        <v>0.05</v>
      </c>
      <c r="G24" s="4"/>
    </row>
    <row r="25" spans="2:13" x14ac:dyDescent="0.4">
      <c r="C25" s="3" t="s">
        <v>13</v>
      </c>
      <c r="D25" s="3">
        <v>1.8</v>
      </c>
      <c r="F25" s="3" t="s">
        <v>14</v>
      </c>
      <c r="G25" s="26">
        <f>D23*(1+D24)^D26</f>
        <v>1.8</v>
      </c>
      <c r="H25" s="3" t="b">
        <f>D25=G25</f>
        <v>1</v>
      </c>
    </row>
    <row r="26" spans="2:13" x14ac:dyDescent="0.4">
      <c r="C26" s="4" t="s">
        <v>15</v>
      </c>
      <c r="D26" s="24">
        <f>+LN(D25)/LN(D23+D24)</f>
        <v>12.047236874648156</v>
      </c>
      <c r="M26" s="7"/>
    </row>
    <row r="27" spans="2:13" x14ac:dyDescent="0.4">
      <c r="B27" s="2"/>
      <c r="M27" s="7"/>
    </row>
    <row r="28" spans="2:13" x14ac:dyDescent="0.4">
      <c r="B28" s="2"/>
      <c r="L28" s="4"/>
      <c r="M28" s="13"/>
    </row>
    <row r="29" spans="2:13" x14ac:dyDescent="0.4">
      <c r="B29" s="2"/>
    </row>
    <row r="31" spans="2:13" x14ac:dyDescent="0.4">
      <c r="B31" s="2"/>
      <c r="C31" s="3" t="s">
        <v>16</v>
      </c>
      <c r="D31" s="11">
        <v>0.04</v>
      </c>
    </row>
    <row r="32" spans="2:13" x14ac:dyDescent="0.4">
      <c r="C32" s="3" t="s">
        <v>17</v>
      </c>
      <c r="D32" s="3">
        <v>12</v>
      </c>
      <c r="F32" s="3" t="s">
        <v>18</v>
      </c>
      <c r="H32" s="3" t="s">
        <v>19</v>
      </c>
    </row>
    <row r="33" spans="2:8" x14ac:dyDescent="0.4">
      <c r="C33" s="3" t="s">
        <v>20</v>
      </c>
      <c r="D33" s="7">
        <f>+(1+D31/D32)^D32-1</f>
        <v>4.0741542919790819E-2</v>
      </c>
    </row>
    <row r="34" spans="2:8" x14ac:dyDescent="0.4">
      <c r="C34" s="3" t="s">
        <v>21</v>
      </c>
      <c r="D34" s="3">
        <v>4</v>
      </c>
    </row>
    <row r="35" spans="2:8" x14ac:dyDescent="0.4">
      <c r="C35" s="3" t="s">
        <v>13</v>
      </c>
      <c r="D35" s="3">
        <v>50000</v>
      </c>
      <c r="F35" s="3" t="s">
        <v>14</v>
      </c>
      <c r="G35" s="27">
        <f>D36*(1+D33)^D34</f>
        <v>50000</v>
      </c>
      <c r="H35" s="3" t="b">
        <f>D35=G35</f>
        <v>1</v>
      </c>
    </row>
    <row r="36" spans="2:8" x14ac:dyDescent="0.4">
      <c r="C36" s="4" t="s">
        <v>22</v>
      </c>
      <c r="D36" s="25">
        <f>D35/(1+D33)^D34</f>
        <v>42618.527688092938</v>
      </c>
    </row>
    <row r="42" spans="2:8" x14ac:dyDescent="0.4">
      <c r="B42" s="2"/>
      <c r="C42" s="3" t="s">
        <v>22</v>
      </c>
      <c r="D42" s="3">
        <v>5000</v>
      </c>
    </row>
    <row r="43" spans="2:8" x14ac:dyDescent="0.4">
      <c r="C43" s="3" t="s">
        <v>16</v>
      </c>
      <c r="D43" s="11">
        <v>0.02</v>
      </c>
    </row>
    <row r="44" spans="2:8" x14ac:dyDescent="0.4">
      <c r="C44" s="3" t="s">
        <v>15</v>
      </c>
      <c r="D44" s="3">
        <v>5</v>
      </c>
      <c r="E44" s="3" t="s">
        <v>23</v>
      </c>
    </row>
    <row r="45" spans="2:8" x14ac:dyDescent="0.4">
      <c r="C45" s="3" t="s">
        <v>17</v>
      </c>
      <c r="D45" s="3">
        <v>4</v>
      </c>
    </row>
    <row r="46" spans="2:8" x14ac:dyDescent="0.4">
      <c r="C46" s="3" t="s">
        <v>24</v>
      </c>
      <c r="D46" s="14">
        <f>+D43/D45</f>
        <v>5.0000000000000001E-3</v>
      </c>
    </row>
    <row r="47" spans="2:8" x14ac:dyDescent="0.4">
      <c r="C47" s="3" t="s">
        <v>20</v>
      </c>
      <c r="D47" s="12">
        <f>+(1+D46)^D45-1</f>
        <v>2.0150500624999346E-2</v>
      </c>
    </row>
    <row r="48" spans="2:8" x14ac:dyDescent="0.4">
      <c r="C48" s="4" t="s">
        <v>25</v>
      </c>
      <c r="D48" s="25">
        <f>+D42*(1+D47)^D44</f>
        <v>5524.4778859336375</v>
      </c>
      <c r="E48" s="39">
        <f>D42*(1+D46)^(4*D44)</f>
        <v>5524.4778859336375</v>
      </c>
    </row>
    <row r="49" spans="2:9" x14ac:dyDescent="0.4">
      <c r="C49" s="4"/>
      <c r="D49" s="13"/>
    </row>
    <row r="50" spans="2:9" x14ac:dyDescent="0.4">
      <c r="C50" s="4"/>
      <c r="D50" s="13"/>
    </row>
    <row r="51" spans="2:9" x14ac:dyDescent="0.4">
      <c r="C51" s="4"/>
      <c r="D51" s="13"/>
    </row>
    <row r="52" spans="2:9" x14ac:dyDescent="0.4">
      <c r="C52" s="4"/>
      <c r="D52" s="13"/>
    </row>
    <row r="53" spans="2:9" x14ac:dyDescent="0.4">
      <c r="C53" s="3" t="s">
        <v>26</v>
      </c>
      <c r="D53" s="14">
        <v>0.03</v>
      </c>
    </row>
    <row r="54" spans="2:9" x14ac:dyDescent="0.4">
      <c r="C54" s="3" t="s">
        <v>17</v>
      </c>
      <c r="D54" s="3">
        <v>4</v>
      </c>
    </row>
    <row r="55" spans="2:9" x14ac:dyDescent="0.4">
      <c r="B55" s="2"/>
      <c r="C55" s="3" t="s">
        <v>24</v>
      </c>
      <c r="D55" s="7">
        <f>+D53/D54</f>
        <v>7.4999999999999997E-3</v>
      </c>
    </row>
    <row r="56" spans="2:9" x14ac:dyDescent="0.4">
      <c r="C56" s="3" t="s">
        <v>20</v>
      </c>
      <c r="D56" s="12">
        <f>+(1+D55)^D54-1</f>
        <v>3.0339190664062876E-2</v>
      </c>
    </row>
    <row r="57" spans="2:9" x14ac:dyDescent="0.4">
      <c r="C57" s="3" t="s">
        <v>27</v>
      </c>
      <c r="D57" s="3">
        <v>10000</v>
      </c>
    </row>
    <row r="58" spans="2:9" x14ac:dyDescent="0.4">
      <c r="C58" s="3" t="s">
        <v>13</v>
      </c>
      <c r="D58" s="3">
        <v>30000</v>
      </c>
      <c r="F58" s="3" t="s">
        <v>14</v>
      </c>
      <c r="G58" s="27">
        <f>D57*(1+D55)^D60</f>
        <v>29999.999999999862</v>
      </c>
      <c r="H58" s="3" t="b">
        <f>ROUND(D58,1)=ROUND(G58,1)</f>
        <v>1</v>
      </c>
      <c r="I58" s="29"/>
    </row>
    <row r="59" spans="2:9" x14ac:dyDescent="0.4">
      <c r="C59" s="3" t="s">
        <v>23</v>
      </c>
      <c r="D59" s="8">
        <f>+LN(D58/D57)/LN(1+D56)</f>
        <v>36.75756514085996</v>
      </c>
    </row>
    <row r="60" spans="2:9" x14ac:dyDescent="0.4">
      <c r="C60" s="4" t="s">
        <v>28</v>
      </c>
      <c r="D60" s="28">
        <f>+D59*D54</f>
        <v>147.03026056343984</v>
      </c>
    </row>
    <row r="61" spans="2:9" x14ac:dyDescent="0.4">
      <c r="C61" s="4"/>
      <c r="D61" s="15"/>
    </row>
    <row r="64" spans="2:9" x14ac:dyDescent="0.4">
      <c r="C64" s="3" t="s">
        <v>29</v>
      </c>
      <c r="D64" s="3">
        <v>500</v>
      </c>
      <c r="F64" s="3" t="s">
        <v>14</v>
      </c>
      <c r="G64" s="27">
        <f>D66*(1+D65)</f>
        <v>500</v>
      </c>
      <c r="H64" s="3" t="b">
        <f>ROUND(D64,1)=ROUND(G64,1)</f>
        <v>1</v>
      </c>
    </row>
    <row r="65" spans="2:4" x14ac:dyDescent="0.4">
      <c r="C65" s="3" t="s">
        <v>30</v>
      </c>
      <c r="D65" s="11">
        <v>0.03</v>
      </c>
    </row>
    <row r="66" spans="2:4" x14ac:dyDescent="0.4">
      <c r="B66" s="2"/>
      <c r="C66" s="4" t="s">
        <v>3</v>
      </c>
      <c r="D66" s="24">
        <f>D64/(1+D65)</f>
        <v>485.43689320388347</v>
      </c>
    </row>
    <row r="68" spans="2:4" s="10" customFormat="1" ht="14.25" x14ac:dyDescent="0.45">
      <c r="B68" s="20" t="s">
        <v>31</v>
      </c>
    </row>
    <row r="69" spans="2:4" x14ac:dyDescent="0.4">
      <c r="B69" s="19"/>
    </row>
    <row r="70" spans="2:4" x14ac:dyDescent="0.4">
      <c r="B70" s="19"/>
    </row>
    <row r="71" spans="2:4" x14ac:dyDescent="0.4">
      <c r="B71" s="19"/>
    </row>
    <row r="73" spans="2:4" x14ac:dyDescent="0.4">
      <c r="B73" s="2"/>
      <c r="C73" s="3" t="s">
        <v>26</v>
      </c>
      <c r="D73" s="16">
        <v>5.7599999999999998E-2</v>
      </c>
    </row>
    <row r="74" spans="2:4" x14ac:dyDescent="0.4">
      <c r="C74" s="3" t="s">
        <v>24</v>
      </c>
      <c r="D74" s="3">
        <f>+D73/12</f>
        <v>4.7999999999999996E-3</v>
      </c>
    </row>
    <row r="75" spans="2:4" x14ac:dyDescent="0.4">
      <c r="C75" s="3" t="s">
        <v>17</v>
      </c>
      <c r="D75" s="3">
        <v>12</v>
      </c>
    </row>
    <row r="76" spans="2:4" x14ac:dyDescent="0.4">
      <c r="C76" s="4" t="s">
        <v>20</v>
      </c>
      <c r="D76" s="30">
        <f>+(1+D74)^D75-1</f>
        <v>5.9145235035986454E-2</v>
      </c>
    </row>
    <row r="77" spans="2:4" x14ac:dyDescent="0.4">
      <c r="C77" s="4"/>
      <c r="D77" s="6"/>
    </row>
    <row r="78" spans="2:4" x14ac:dyDescent="0.4">
      <c r="C78" s="4"/>
      <c r="D78" s="38"/>
    </row>
    <row r="79" spans="2:4" x14ac:dyDescent="0.4">
      <c r="C79" s="4"/>
      <c r="D79" s="6"/>
    </row>
    <row r="80" spans="2:4" x14ac:dyDescent="0.4">
      <c r="C80" s="4"/>
      <c r="D80" s="6"/>
    </row>
    <row r="81" spans="2:8" x14ac:dyDescent="0.4">
      <c r="B81" s="3" t="s">
        <v>32</v>
      </c>
    </row>
    <row r="82" spans="2:8" x14ac:dyDescent="0.4">
      <c r="C82" s="3" t="s">
        <v>33</v>
      </c>
      <c r="D82" s="11">
        <v>0.06</v>
      </c>
    </row>
    <row r="83" spans="2:8" x14ac:dyDescent="0.4">
      <c r="C83" s="3" t="s">
        <v>17</v>
      </c>
      <c r="D83" s="3">
        <v>12</v>
      </c>
    </row>
    <row r="84" spans="2:8" x14ac:dyDescent="0.4">
      <c r="B84" s="2"/>
      <c r="C84" s="3" t="s">
        <v>62</v>
      </c>
      <c r="D84" s="31">
        <f>D82/D83</f>
        <v>5.0000000000000001E-3</v>
      </c>
      <c r="E84" s="40" t="s">
        <v>63</v>
      </c>
      <c r="F84" s="3" t="s">
        <v>24</v>
      </c>
    </row>
    <row r="85" spans="2:8" x14ac:dyDescent="0.4">
      <c r="C85" s="3" t="s">
        <v>34</v>
      </c>
      <c r="D85" s="31">
        <f>+(1+D82)^(1/D83)-1</f>
        <v>4.8675505653430484E-3</v>
      </c>
      <c r="E85" s="40" t="s">
        <v>63</v>
      </c>
      <c r="F85" s="3" t="s">
        <v>24</v>
      </c>
    </row>
    <row r="86" spans="2:8" x14ac:dyDescent="0.4">
      <c r="D86" s="7"/>
    </row>
    <row r="87" spans="2:8" x14ac:dyDescent="0.4">
      <c r="D87" s="7"/>
    </row>
    <row r="88" spans="2:8" x14ac:dyDescent="0.4">
      <c r="D88" s="7"/>
    </row>
    <row r="89" spans="2:8" x14ac:dyDescent="0.4">
      <c r="D89" s="7"/>
    </row>
    <row r="91" spans="2:8" x14ac:dyDescent="0.4">
      <c r="B91" s="2"/>
      <c r="D91" s="3" t="s">
        <v>26</v>
      </c>
      <c r="E91" s="3" t="s">
        <v>17</v>
      </c>
      <c r="F91" s="3" t="s">
        <v>20</v>
      </c>
    </row>
    <row r="92" spans="2:8" x14ac:dyDescent="0.4">
      <c r="C92" s="11"/>
      <c r="D92" s="11">
        <v>0.06</v>
      </c>
      <c r="E92" s="3">
        <v>12</v>
      </c>
      <c r="F92" s="12">
        <f>+(1+D92/E92)^E92-1</f>
        <v>6.1677811864497611E-2</v>
      </c>
      <c r="H92" s="23" t="s">
        <v>35</v>
      </c>
    </row>
    <row r="93" spans="2:8" x14ac:dyDescent="0.4">
      <c r="D93" s="16">
        <v>6.0999999999999999E-2</v>
      </c>
      <c r="E93" s="3">
        <v>4</v>
      </c>
      <c r="F93" s="12">
        <f>+(1+D93/E93)^E93-1</f>
        <v>6.2409615397816198E-2</v>
      </c>
    </row>
    <row r="94" spans="2:8" x14ac:dyDescent="0.4">
      <c r="D94" s="16"/>
      <c r="E94" s="12"/>
    </row>
    <row r="95" spans="2:8" x14ac:dyDescent="0.4">
      <c r="D95" s="16"/>
      <c r="E95" s="12"/>
    </row>
    <row r="96" spans="2:8" x14ac:dyDescent="0.4">
      <c r="D96" s="16"/>
      <c r="E96" s="12"/>
    </row>
    <row r="97" spans="2:8" x14ac:dyDescent="0.4">
      <c r="D97" s="3" t="s">
        <v>26</v>
      </c>
      <c r="E97" s="3" t="s">
        <v>17</v>
      </c>
      <c r="F97" s="3" t="s">
        <v>20</v>
      </c>
    </row>
    <row r="98" spans="2:8" x14ac:dyDescent="0.4">
      <c r="D98" s="11">
        <v>0.1</v>
      </c>
      <c r="E98" s="3">
        <v>52</v>
      </c>
      <c r="F98" s="12">
        <f>+(1+D98/E98)^E98-1</f>
        <v>0.10506479277976588</v>
      </c>
      <c r="H98" s="23" t="s">
        <v>35</v>
      </c>
    </row>
    <row r="99" spans="2:8" x14ac:dyDescent="0.4">
      <c r="D99" s="11">
        <v>0.11</v>
      </c>
      <c r="E99" s="3">
        <v>1</v>
      </c>
      <c r="F99" s="12">
        <f>+(1+D99/E99)^E99-1</f>
        <v>0.1100000000000001</v>
      </c>
    </row>
    <row r="101" spans="2:8" x14ac:dyDescent="0.4">
      <c r="D101" s="11"/>
      <c r="E101" s="11"/>
    </row>
    <row r="102" spans="2:8" x14ac:dyDescent="0.4">
      <c r="D102" s="11"/>
      <c r="E102" s="11"/>
    </row>
    <row r="103" spans="2:8" x14ac:dyDescent="0.4">
      <c r="D103" s="3" t="s">
        <v>26</v>
      </c>
      <c r="E103" s="3" t="s">
        <v>17</v>
      </c>
      <c r="F103" s="3" t="s">
        <v>20</v>
      </c>
    </row>
    <row r="104" spans="2:8" x14ac:dyDescent="0.4">
      <c r="D104" s="11">
        <v>0.04</v>
      </c>
      <c r="E104" s="3">
        <v>12</v>
      </c>
      <c r="F104" s="12">
        <f>+(1+D104/E104)^E104-1</f>
        <v>4.0741542919790819E-2</v>
      </c>
      <c r="H104" s="23" t="s">
        <v>35</v>
      </c>
    </row>
    <row r="105" spans="2:8" x14ac:dyDescent="0.4">
      <c r="D105" s="16">
        <v>4.3999999999999997E-2</v>
      </c>
      <c r="E105" s="3">
        <v>360</v>
      </c>
      <c r="F105" s="12">
        <f>+(1+D105/E105)^E105-1</f>
        <v>4.4979545279650202E-2</v>
      </c>
    </row>
    <row r="107" spans="2:8" x14ac:dyDescent="0.4">
      <c r="D107" s="16"/>
      <c r="E107" s="7"/>
    </row>
    <row r="108" spans="2:8" s="10" customFormat="1" x14ac:dyDescent="0.4">
      <c r="B108" s="1" t="s">
        <v>36</v>
      </c>
    </row>
    <row r="109" spans="2:8" x14ac:dyDescent="0.4">
      <c r="B109" s="19"/>
    </row>
    <row r="110" spans="2:8" x14ac:dyDescent="0.4">
      <c r="B110" s="19"/>
    </row>
    <row r="111" spans="2:8" x14ac:dyDescent="0.4">
      <c r="B111" s="19"/>
    </row>
    <row r="112" spans="2:8" x14ac:dyDescent="0.4">
      <c r="B112" s="19"/>
    </row>
    <row r="113" spans="1:50" x14ac:dyDescent="0.4">
      <c r="B113" s="19"/>
    </row>
    <row r="114" spans="1:50" x14ac:dyDescent="0.4">
      <c r="B114" s="19"/>
    </row>
    <row r="115" spans="1:50" x14ac:dyDescent="0.4">
      <c r="B115" s="19"/>
    </row>
    <row r="116" spans="1:50" x14ac:dyDescent="0.4">
      <c r="A116" s="33"/>
      <c r="B116" s="19"/>
    </row>
    <row r="117" spans="1:50" x14ac:dyDescent="0.4">
      <c r="B117" s="19"/>
    </row>
    <row r="118" spans="1:50" x14ac:dyDescent="0.4">
      <c r="D118" s="3" t="s">
        <v>22</v>
      </c>
      <c r="E118" s="3">
        <v>2000</v>
      </c>
    </row>
    <row r="119" spans="1:50" x14ac:dyDescent="0.4">
      <c r="D119" s="3" t="s">
        <v>37</v>
      </c>
      <c r="E119" s="3">
        <v>40</v>
      </c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</row>
    <row r="120" spans="1:50" x14ac:dyDescent="0.4">
      <c r="D120" s="3" t="s">
        <v>38</v>
      </c>
      <c r="E120" s="3">
        <v>3</v>
      </c>
      <c r="H120" s="42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2"/>
    </row>
    <row r="121" spans="1:50" x14ac:dyDescent="0.4">
      <c r="B121" s="2"/>
      <c r="D121" s="3" t="s">
        <v>39</v>
      </c>
      <c r="E121" s="3">
        <f>E119-E120+1</f>
        <v>38</v>
      </c>
      <c r="H121" s="42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2"/>
      <c r="AX121" s="42"/>
    </row>
    <row r="122" spans="1:50" x14ac:dyDescent="0.4">
      <c r="D122" s="3" t="s">
        <v>20</v>
      </c>
      <c r="E122" s="11">
        <v>0.05</v>
      </c>
      <c r="H122" s="45"/>
      <c r="I122" s="46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</row>
    <row r="123" spans="1:50" x14ac:dyDescent="0.4">
      <c r="D123" s="3" t="s">
        <v>3</v>
      </c>
      <c r="E123" s="17">
        <f>+(E118/E122*(1-1/(1+E122)^E121))/(1+E122)^2</f>
        <v>30599.351846310878</v>
      </c>
      <c r="F123" s="39">
        <f>+(E118/E122*(1-1/(1+E122)^E121))</f>
        <v>33735.785410557743</v>
      </c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</row>
    <row r="124" spans="1:50" x14ac:dyDescent="0.4">
      <c r="D124" s="4" t="s">
        <v>1</v>
      </c>
      <c r="E124" s="34">
        <f>+E123*(1+E122)^40</f>
        <v>215419.09159635913</v>
      </c>
      <c r="F124" s="39">
        <f>F123*(1+E122)^38</f>
        <v>215419.0915963591</v>
      </c>
    </row>
    <row r="125" spans="1:50" x14ac:dyDescent="0.4">
      <c r="D125" s="4"/>
      <c r="E125" s="18"/>
    </row>
    <row r="126" spans="1:50" x14ac:dyDescent="0.4">
      <c r="A126" s="33"/>
      <c r="D126" s="4"/>
      <c r="E126" s="18"/>
    </row>
    <row r="127" spans="1:50" x14ac:dyDescent="0.4">
      <c r="D127" s="4"/>
      <c r="E127" s="18"/>
    </row>
    <row r="128" spans="1:50" x14ac:dyDescent="0.4">
      <c r="D128" s="4"/>
      <c r="E128" s="18"/>
    </row>
    <row r="129" spans="2:23" x14ac:dyDescent="0.4">
      <c r="D129" s="4"/>
      <c r="E129" s="18"/>
    </row>
    <row r="130" spans="2:23" x14ac:dyDescent="0.4">
      <c r="D130" s="4"/>
      <c r="E130" s="18"/>
    </row>
    <row r="132" spans="2:23" x14ac:dyDescent="0.4">
      <c r="D132" s="23" t="s">
        <v>40</v>
      </c>
    </row>
    <row r="143" spans="2:23" x14ac:dyDescent="0.4">
      <c r="B143" s="2"/>
      <c r="D143" s="3" t="s">
        <v>26</v>
      </c>
      <c r="E143" s="11">
        <v>0.05</v>
      </c>
    </row>
    <row r="144" spans="2:23" x14ac:dyDescent="0.4">
      <c r="B144" s="2"/>
      <c r="D144" s="3" t="s">
        <v>17</v>
      </c>
      <c r="E144" s="17">
        <v>12</v>
      </c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</row>
    <row r="145" spans="3:27" x14ac:dyDescent="0.4">
      <c r="D145" s="3" t="s">
        <v>24</v>
      </c>
      <c r="E145" s="51">
        <f>+E143/E144</f>
        <v>4.1666666666666666E-3</v>
      </c>
      <c r="H145" s="42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2"/>
      <c r="V145" s="42"/>
      <c r="W145" s="42"/>
    </row>
    <row r="146" spans="3:27" x14ac:dyDescent="0.4">
      <c r="D146" s="3" t="s">
        <v>41</v>
      </c>
      <c r="E146" s="17">
        <v>2000</v>
      </c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2"/>
      <c r="V146" s="42"/>
      <c r="W146" s="42"/>
    </row>
    <row r="147" spans="3:27" x14ac:dyDescent="0.4">
      <c r="D147" s="3" t="s">
        <v>42</v>
      </c>
      <c r="E147" s="7">
        <v>0.1</v>
      </c>
      <c r="I147" s="47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2"/>
      <c r="V147" s="42"/>
      <c r="W147" s="42"/>
    </row>
    <row r="148" spans="3:27" x14ac:dyDescent="0.4">
      <c r="D148" s="3" t="s">
        <v>3</v>
      </c>
      <c r="E148" s="17">
        <f>E146*E147/E145*(1-1/(1+E145)^E144)</f>
        <v>2336.2444008596503</v>
      </c>
      <c r="H148" s="45"/>
      <c r="I148" s="46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</row>
    <row r="149" spans="3:27" x14ac:dyDescent="0.4">
      <c r="C149" s="9"/>
      <c r="D149" s="4" t="s">
        <v>1</v>
      </c>
      <c r="E149" s="34">
        <f>+E148*(1+E145)^E144</f>
        <v>2455.7710983232032</v>
      </c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</row>
    <row r="150" spans="3:27" x14ac:dyDescent="0.4">
      <c r="C150" s="9"/>
    </row>
    <row r="151" spans="3:27" x14ac:dyDescent="0.4">
      <c r="C151" s="9"/>
    </row>
    <row r="152" spans="3:27" x14ac:dyDescent="0.4">
      <c r="C152" s="9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</row>
    <row r="153" spans="3:27" x14ac:dyDescent="0.4">
      <c r="C153" s="9"/>
      <c r="H153" s="42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2"/>
      <c r="V153" s="42"/>
      <c r="W153" s="42"/>
      <c r="X153" s="42"/>
      <c r="Y153" s="42"/>
      <c r="Z153" s="42"/>
      <c r="AA153" s="42"/>
    </row>
    <row r="154" spans="3:27" x14ac:dyDescent="0.4">
      <c r="C154" s="9"/>
      <c r="D154" s="3" t="s">
        <v>64</v>
      </c>
      <c r="E154" s="17">
        <f>E146*E147/E145*(1-1/(1+E145)^(E144-1))</f>
        <v>2145.9787525298975</v>
      </c>
      <c r="F154" s="41">
        <f>E154/(1+E145)</f>
        <v>2137.0742763783214</v>
      </c>
      <c r="H154" s="42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2"/>
      <c r="V154" s="42"/>
      <c r="W154" s="42"/>
      <c r="X154" s="42"/>
      <c r="Y154" s="42"/>
      <c r="Z154" s="42"/>
      <c r="AA154" s="42"/>
    </row>
    <row r="155" spans="3:27" x14ac:dyDescent="0.4">
      <c r="C155" s="9"/>
      <c r="D155" s="4" t="s">
        <v>1</v>
      </c>
      <c r="E155" s="34">
        <f>+E154*(1+E145)^(E144-1)</f>
        <v>2246.411052272068</v>
      </c>
      <c r="H155" s="42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2"/>
      <c r="V155" s="42"/>
      <c r="W155" s="42"/>
      <c r="X155" s="42"/>
      <c r="Y155" s="42"/>
      <c r="Z155" s="42"/>
      <c r="AA155" s="42"/>
    </row>
    <row r="156" spans="3:27" x14ac:dyDescent="0.4">
      <c r="C156" s="9"/>
      <c r="D156" s="4"/>
      <c r="E156" s="18"/>
      <c r="H156" s="45"/>
      <c r="I156" s="46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</row>
    <row r="157" spans="3:27" x14ac:dyDescent="0.4">
      <c r="C157" s="9"/>
      <c r="D157" s="4"/>
      <c r="E157" s="18"/>
    </row>
    <row r="158" spans="3:27" x14ac:dyDescent="0.4">
      <c r="C158" s="9"/>
      <c r="D158" s="4"/>
      <c r="E158" s="18"/>
    </row>
    <row r="159" spans="3:27" x14ac:dyDescent="0.4">
      <c r="C159" s="9"/>
      <c r="D159" s="4"/>
      <c r="E159" s="18"/>
      <c r="H159" s="42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2"/>
    </row>
    <row r="160" spans="3:27" x14ac:dyDescent="0.4">
      <c r="C160" s="9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</row>
    <row r="161" spans="3:22" x14ac:dyDescent="0.4">
      <c r="C161" s="9"/>
      <c r="D161" s="3" t="s">
        <v>43</v>
      </c>
      <c r="E161" s="16">
        <v>2E-3</v>
      </c>
      <c r="H161" s="42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2"/>
    </row>
    <row r="162" spans="3:22" x14ac:dyDescent="0.4">
      <c r="C162" s="9"/>
      <c r="D162" s="3" t="s">
        <v>3</v>
      </c>
      <c r="E162" s="17">
        <f>E146*E147/(E145-E161)*(1-((1+E161)/(1+E145))^13)*(1+E145)</f>
        <v>2566.6051165062058</v>
      </c>
      <c r="G162" s="39"/>
      <c r="H162" s="42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2"/>
    </row>
    <row r="163" spans="3:22" x14ac:dyDescent="0.4">
      <c r="C163" s="9"/>
      <c r="D163" s="4" t="s">
        <v>1</v>
      </c>
      <c r="E163" s="34">
        <f>E162*(1+E145)^12</f>
        <v>2697.9175053796307</v>
      </c>
      <c r="H163" s="42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2"/>
    </row>
    <row r="164" spans="3:22" x14ac:dyDescent="0.4">
      <c r="C164" s="9"/>
      <c r="D164" s="4"/>
      <c r="E164" s="18"/>
      <c r="H164" s="45"/>
      <c r="I164" s="46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</row>
    <row r="165" spans="3:22" x14ac:dyDescent="0.4">
      <c r="C165" s="9"/>
      <c r="D165" s="4"/>
      <c r="E165" s="18"/>
    </row>
    <row r="166" spans="3:22" x14ac:dyDescent="0.4">
      <c r="C166" s="9"/>
      <c r="D166" s="4"/>
      <c r="E166" s="18"/>
    </row>
    <row r="167" spans="3:22" x14ac:dyDescent="0.4">
      <c r="C167" s="9"/>
      <c r="D167" s="4"/>
      <c r="E167" s="18"/>
    </row>
    <row r="168" spans="3:22" x14ac:dyDescent="0.4">
      <c r="C168" s="9"/>
      <c r="D168" s="4"/>
      <c r="E168" s="18"/>
    </row>
    <row r="169" spans="3:22" x14ac:dyDescent="0.4">
      <c r="C169" s="9"/>
    </row>
    <row r="170" spans="3:22" x14ac:dyDescent="0.4">
      <c r="C170" s="9"/>
      <c r="D170" s="9" t="s">
        <v>44</v>
      </c>
      <c r="E170" s="3" t="s">
        <v>17</v>
      </c>
      <c r="F170" s="9" t="s">
        <v>20</v>
      </c>
    </row>
    <row r="171" spans="3:22" x14ac:dyDescent="0.4">
      <c r="D171" s="11">
        <v>0.05</v>
      </c>
      <c r="E171" s="3">
        <v>12</v>
      </c>
      <c r="F171" s="12">
        <f>+(1+D171/E171)^E171-1</f>
        <v>5.116189788173342E-2</v>
      </c>
      <c r="H171" s="23" t="s">
        <v>45</v>
      </c>
    </row>
    <row r="172" spans="3:22" x14ac:dyDescent="0.4">
      <c r="D172" s="16">
        <v>5.0200000000000002E-2</v>
      </c>
      <c r="E172" s="3">
        <v>2</v>
      </c>
      <c r="F172" s="12">
        <f>+(1+D172/E172)^E172-1</f>
        <v>5.083000999999987E-2</v>
      </c>
    </row>
    <row r="173" spans="3:22" x14ac:dyDescent="0.4">
      <c r="D173" s="16"/>
      <c r="E173" s="12"/>
    </row>
    <row r="174" spans="3:22" x14ac:dyDescent="0.4">
      <c r="D174" s="16"/>
      <c r="E174" s="12"/>
    </row>
    <row r="175" spans="3:22" x14ac:dyDescent="0.4">
      <c r="D175" s="16"/>
      <c r="E175" s="12"/>
    </row>
    <row r="176" spans="3:22" x14ac:dyDescent="0.4">
      <c r="D176" s="16"/>
      <c r="E176" s="12"/>
    </row>
    <row r="177" spans="2:63" x14ac:dyDescent="0.4">
      <c r="D177" s="16"/>
      <c r="E177" s="12"/>
    </row>
    <row r="178" spans="2:63" x14ac:dyDescent="0.4">
      <c r="D178" s="16"/>
      <c r="E178" s="12"/>
    </row>
    <row r="179" spans="2:63" x14ac:dyDescent="0.4">
      <c r="D179" s="16"/>
      <c r="E179" s="12"/>
    </row>
    <row r="180" spans="2:63" x14ac:dyDescent="0.4">
      <c r="D180" s="16"/>
      <c r="E180" s="12"/>
    </row>
    <row r="181" spans="2:63" x14ac:dyDescent="0.4">
      <c r="D181" s="16"/>
      <c r="E181" s="12"/>
    </row>
    <row r="182" spans="2:63" x14ac:dyDescent="0.4"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</row>
    <row r="183" spans="2:63" x14ac:dyDescent="0.4">
      <c r="B183" s="2"/>
      <c r="D183" s="3" t="s">
        <v>46</v>
      </c>
      <c r="E183" s="11">
        <v>0.03</v>
      </c>
      <c r="H183" s="3" t="s">
        <v>60</v>
      </c>
      <c r="I183" s="43"/>
      <c r="J183" s="43"/>
      <c r="K183" s="42"/>
      <c r="L183" s="42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2"/>
    </row>
    <row r="184" spans="2:63" x14ac:dyDescent="0.4">
      <c r="D184" s="3" t="s">
        <v>47</v>
      </c>
      <c r="E184" s="3">
        <v>1000000</v>
      </c>
      <c r="H184" s="3" t="s">
        <v>1</v>
      </c>
      <c r="I184" s="44"/>
      <c r="J184" s="44"/>
      <c r="K184" s="42"/>
      <c r="L184" s="42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2"/>
    </row>
    <row r="185" spans="2:63" x14ac:dyDescent="0.4">
      <c r="D185" s="3" t="s">
        <v>15</v>
      </c>
      <c r="E185" s="3">
        <v>46</v>
      </c>
      <c r="H185" s="4" t="s">
        <v>61</v>
      </c>
      <c r="I185" s="50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</row>
    <row r="187" spans="2:63" x14ac:dyDescent="0.4">
      <c r="C187" s="9"/>
      <c r="D187" s="3" t="s">
        <v>65</v>
      </c>
    </row>
    <row r="188" spans="2:63" x14ac:dyDescent="0.4">
      <c r="C188" s="9"/>
    </row>
    <row r="189" spans="2:63" x14ac:dyDescent="0.4">
      <c r="C189" s="9"/>
      <c r="D189" s="3" t="s">
        <v>48</v>
      </c>
      <c r="E189" s="39">
        <f>+E184/(1+E183)^50</f>
        <v>228107.07978975397</v>
      </c>
    </row>
    <row r="190" spans="2:63" x14ac:dyDescent="0.4">
      <c r="C190" s="9"/>
      <c r="D190" s="4" t="s">
        <v>22</v>
      </c>
      <c r="E190" s="37">
        <f>E189*E183/(1-1/(1+E183)^E185)*(1+E183)^4</f>
        <v>10362.537817603234</v>
      </c>
    </row>
    <row r="191" spans="2:63" x14ac:dyDescent="0.4">
      <c r="C191" s="9"/>
      <c r="D191" s="4"/>
      <c r="E191" s="4"/>
    </row>
    <row r="192" spans="2:63" x14ac:dyDescent="0.4">
      <c r="C192" s="9"/>
      <c r="D192" s="4"/>
      <c r="E192" s="4"/>
    </row>
    <row r="193" spans="2:5" x14ac:dyDescent="0.4">
      <c r="C193" s="9"/>
      <c r="D193" s="4"/>
      <c r="E193" s="4"/>
    </row>
    <row r="194" spans="2:5" x14ac:dyDescent="0.4">
      <c r="C194" s="9"/>
      <c r="D194" s="4"/>
      <c r="E194" s="4"/>
    </row>
    <row r="195" spans="2:5" x14ac:dyDescent="0.4">
      <c r="C195" s="9"/>
    </row>
    <row r="196" spans="2:5" x14ac:dyDescent="0.4">
      <c r="C196" s="9"/>
      <c r="D196" s="3" t="s">
        <v>48</v>
      </c>
      <c r="E196" s="25">
        <f>+E189</f>
        <v>228107.07978975397</v>
      </c>
    </row>
    <row r="197" spans="2:5" x14ac:dyDescent="0.4">
      <c r="C197" s="9"/>
      <c r="E197" s="13"/>
    </row>
    <row r="198" spans="2:5" x14ac:dyDescent="0.4">
      <c r="C198" s="9"/>
      <c r="E198" s="13"/>
    </row>
    <row r="199" spans="2:5" x14ac:dyDescent="0.4">
      <c r="C199" s="9"/>
      <c r="E199" s="13"/>
    </row>
    <row r="200" spans="2:5" x14ac:dyDescent="0.4">
      <c r="C200" s="9"/>
      <c r="E200" s="13"/>
    </row>
    <row r="201" spans="2:5" x14ac:dyDescent="0.4">
      <c r="C201" s="9"/>
      <c r="E201" s="13"/>
    </row>
    <row r="202" spans="2:5" x14ac:dyDescent="0.4">
      <c r="C202" s="9"/>
      <c r="E202" s="13"/>
    </row>
    <row r="203" spans="2:5" x14ac:dyDescent="0.4">
      <c r="C203" s="9"/>
      <c r="E203" s="13"/>
    </row>
    <row r="204" spans="2:5" x14ac:dyDescent="0.4">
      <c r="C204" s="9"/>
      <c r="E204" s="13"/>
    </row>
    <row r="206" spans="2:5" x14ac:dyDescent="0.4">
      <c r="B206" s="2"/>
    </row>
    <row r="207" spans="2:5" x14ac:dyDescent="0.4">
      <c r="C207" s="9"/>
      <c r="D207" s="3" t="s">
        <v>49</v>
      </c>
      <c r="E207" s="7">
        <f>3.6%/12</f>
        <v>3.0000000000000005E-3</v>
      </c>
    </row>
    <row r="208" spans="2:5" x14ac:dyDescent="0.4">
      <c r="C208" s="9"/>
      <c r="D208" s="3" t="s">
        <v>15</v>
      </c>
      <c r="E208" s="3">
        <f>5*12</f>
        <v>60</v>
      </c>
    </row>
    <row r="209" spans="3:5" x14ac:dyDescent="0.4">
      <c r="C209" s="9"/>
      <c r="D209" s="4" t="s">
        <v>50</v>
      </c>
      <c r="E209" s="25">
        <f>150/E207*(1-1/(1+E207)^E208)</f>
        <v>8225.2342669097798</v>
      </c>
    </row>
    <row r="210" spans="3:5" x14ac:dyDescent="0.4">
      <c r="C210" s="9"/>
      <c r="D210" s="4"/>
      <c r="E210" s="13"/>
    </row>
    <row r="211" spans="3:5" x14ac:dyDescent="0.4">
      <c r="C211" s="9"/>
      <c r="D211" s="4"/>
      <c r="E211" s="13"/>
    </row>
    <row r="212" spans="3:5" x14ac:dyDescent="0.4">
      <c r="C212" s="9"/>
    </row>
    <row r="213" spans="3:5" x14ac:dyDescent="0.4">
      <c r="C213" s="9"/>
      <c r="D213" s="4" t="s">
        <v>20</v>
      </c>
      <c r="E213" s="30">
        <f>+(1+E207)^12-1</f>
        <v>3.659998028812983E-2</v>
      </c>
    </row>
    <row r="214" spans="3:5" x14ac:dyDescent="0.4">
      <c r="C214" s="9"/>
      <c r="D214" s="4"/>
      <c r="E214" s="6"/>
    </row>
    <row r="215" spans="3:5" x14ac:dyDescent="0.4">
      <c r="C215" s="9"/>
      <c r="D215" s="4"/>
      <c r="E215" s="6"/>
    </row>
    <row r="216" spans="3:5" x14ac:dyDescent="0.4">
      <c r="C216" s="9"/>
      <c r="D216" s="4"/>
      <c r="E216" s="6"/>
    </row>
    <row r="217" spans="3:5" x14ac:dyDescent="0.4">
      <c r="C217" s="9"/>
      <c r="D217" s="4"/>
      <c r="E217" s="6"/>
    </row>
    <row r="218" spans="3:5" x14ac:dyDescent="0.4">
      <c r="C218" s="9"/>
      <c r="D218" s="4"/>
      <c r="E218" s="6"/>
    </row>
    <row r="219" spans="3:5" x14ac:dyDescent="0.4">
      <c r="C219" s="9"/>
      <c r="D219" s="4"/>
      <c r="E219" s="6"/>
    </row>
    <row r="220" spans="3:5" x14ac:dyDescent="0.4">
      <c r="C220" s="9"/>
      <c r="D220" s="4"/>
      <c r="E220" s="6"/>
    </row>
    <row r="221" spans="3:5" x14ac:dyDescent="0.4">
      <c r="C221" s="9"/>
      <c r="D221" s="4" t="s">
        <v>51</v>
      </c>
      <c r="E221" s="3">
        <v>1000</v>
      </c>
    </row>
    <row r="222" spans="3:5" x14ac:dyDescent="0.4">
      <c r="C222" s="9"/>
      <c r="D222" s="4" t="s">
        <v>52</v>
      </c>
      <c r="E222" s="3">
        <v>50</v>
      </c>
    </row>
    <row r="223" spans="3:5" x14ac:dyDescent="0.4">
      <c r="C223" s="9"/>
      <c r="D223" s="4" t="s">
        <v>53</v>
      </c>
      <c r="E223" s="3">
        <v>20</v>
      </c>
    </row>
    <row r="224" spans="3:5" x14ac:dyDescent="0.4">
      <c r="C224" s="9"/>
      <c r="D224" s="4" t="s">
        <v>54</v>
      </c>
      <c r="E224" s="11">
        <v>0.05</v>
      </c>
    </row>
    <row r="225" spans="2:9" x14ac:dyDescent="0.4">
      <c r="D225" s="3" t="s">
        <v>55</v>
      </c>
      <c r="E225" s="3">
        <f>E221/E224*(1-1/(1+E224)^E222)</f>
        <v>18255.925460552389</v>
      </c>
    </row>
    <row r="226" spans="2:9" x14ac:dyDescent="0.4">
      <c r="D226" s="3" t="s">
        <v>56</v>
      </c>
      <c r="E226" s="3">
        <f>+E225*(1+E224)^E222</f>
        <v>209347.99571507372</v>
      </c>
    </row>
    <row r="227" spans="2:9" x14ac:dyDescent="0.4">
      <c r="D227" s="4" t="s">
        <v>57</v>
      </c>
      <c r="E227" s="25">
        <f>+E226/(1-1/(1+E224)^E223)*E224</f>
        <v>16798.624799363275</v>
      </c>
      <c r="G227" s="3" t="s">
        <v>58</v>
      </c>
    </row>
    <row r="228" spans="2:9" x14ac:dyDescent="0.4">
      <c r="B228" s="2"/>
    </row>
    <row r="234" spans="2:9" x14ac:dyDescent="0.4">
      <c r="B234" s="2"/>
      <c r="D234" s="3" t="s">
        <v>26</v>
      </c>
      <c r="E234" s="11">
        <v>0.03</v>
      </c>
    </row>
    <row r="235" spans="2:9" ht="11.25" customHeight="1" x14ac:dyDescent="0.4">
      <c r="B235" s="2"/>
      <c r="D235" s="3" t="s">
        <v>13</v>
      </c>
      <c r="E235" s="3">
        <v>5000</v>
      </c>
      <c r="G235" s="3" t="s">
        <v>14</v>
      </c>
      <c r="H235" s="32">
        <f>E237*(1+E234/12)^(E236*12)</f>
        <v>5000</v>
      </c>
      <c r="I235" s="3" t="b">
        <f>ROUND(E235,1)=ROUND(H235,1)</f>
        <v>1</v>
      </c>
    </row>
    <row r="236" spans="2:9" ht="11.25" customHeight="1" x14ac:dyDescent="0.4">
      <c r="B236" s="2"/>
      <c r="D236" s="3" t="s">
        <v>23</v>
      </c>
      <c r="E236" s="3">
        <v>2</v>
      </c>
    </row>
    <row r="237" spans="2:9" ht="11.25" customHeight="1" x14ac:dyDescent="0.4">
      <c r="D237" s="3" t="s">
        <v>3</v>
      </c>
      <c r="E237" s="39">
        <f>E235/(1+E234/12)^(E236*12)</f>
        <v>4709.1752553198048</v>
      </c>
    </row>
    <row r="238" spans="2:9" ht="11.25" customHeight="1" x14ac:dyDescent="0.4">
      <c r="D238" s="3" t="s">
        <v>17</v>
      </c>
      <c r="E238" s="17">
        <v>12</v>
      </c>
    </row>
    <row r="239" spans="2:9" ht="11.25" customHeight="1" x14ac:dyDescent="0.4">
      <c r="D239" s="3" t="s">
        <v>66</v>
      </c>
      <c r="E239" s="12">
        <f>E234/E238</f>
        <v>2.5000000000000001E-3</v>
      </c>
    </row>
    <row r="240" spans="2:9" ht="11.25" customHeight="1" x14ac:dyDescent="0.4">
      <c r="D240" s="3" t="s">
        <v>59</v>
      </c>
      <c r="E240" s="17">
        <f>E238*E236</f>
        <v>24</v>
      </c>
    </row>
    <row r="241" spans="4:5" x14ac:dyDescent="0.4">
      <c r="D241" s="4" t="s">
        <v>22</v>
      </c>
      <c r="E241" s="35">
        <f>+E237/(1-1/(1+E239)^E240)*(E239)</f>
        <v>202.4060598977847</v>
      </c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9D06A7CC18D44E9AEF22A83B1CF9C2" ma:contentTypeVersion="9" ma:contentTypeDescription="Criar um novo documento." ma:contentTypeScope="" ma:versionID="9fbf10c135fca4e0ab11c6069decc817">
  <xsd:schema xmlns:xsd="http://www.w3.org/2001/XMLSchema" xmlns:xs="http://www.w3.org/2001/XMLSchema" xmlns:p="http://schemas.microsoft.com/office/2006/metadata/properties" xmlns:ns2="c8978d91-f351-421c-8b15-b251e129c7c0" targetNamespace="http://schemas.microsoft.com/office/2006/metadata/properties" ma:root="true" ma:fieldsID="8a1792592758819513c5d084d49f3da8" ns2:_="">
    <xsd:import namespace="c8978d91-f351-421c-8b15-b251e129c7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978d91-f351-421c-8b15-b251e129c7c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414A25E-CB34-4839-83C0-6F4E5AB89B9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48AD36F-E667-448F-A2FF-C7822673676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978d91-f351-421c-8b15-b251e129c7c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35A37E4-F7F3-4651-B10A-3E52AD3F503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Time Value of Money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Alice Nunes</dc:creator>
  <cp:keywords/>
  <dc:description/>
  <cp:lastModifiedBy>Maria</cp:lastModifiedBy>
  <cp:revision/>
  <dcterms:created xsi:type="dcterms:W3CDTF">2020-02-13T16:13:06Z</dcterms:created>
  <dcterms:modified xsi:type="dcterms:W3CDTF">2024-08-26T16:11:48Z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0x0101005E9D06A7CC18D44E9AEF22A83B1CF9C2</vt:lpwstr>
  </property>
</Properties>
</file>