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pu049530.BDP\Desktop\NOVA_SBE 03 04\"/>
    </mc:Choice>
  </mc:AlternateContent>
  <xr:revisionPtr revIDLastSave="0" documentId="13_ncr:1_{CD387827-928B-4335-8090-381C37CD6909}" xr6:coauthVersionLast="47" xr6:coauthVersionMax="47" xr10:uidLastSave="{00000000-0000-0000-0000-000000000000}"/>
  <bookViews>
    <workbookView xWindow="-110" yWindow="-110" windowWidth="19420" windowHeight="10420" xr2:uid="{22DE1D03-D06C-4E80-B0C3-87FE40F307B3}"/>
  </bookViews>
  <sheets>
    <sheet name="DB_Ratios" sheetId="5" r:id="rId1"/>
    <sheet name="DB_Balancesheet_simpl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5" l="1"/>
  <c r="C17" i="5"/>
  <c r="D16" i="5"/>
  <c r="C16" i="5"/>
  <c r="C14" i="5"/>
  <c r="D15" i="5"/>
  <c r="C15" i="5"/>
  <c r="I16" i="5"/>
  <c r="H16" i="5"/>
  <c r="H17" i="5"/>
  <c r="D20" i="5"/>
  <c r="C20" i="5"/>
  <c r="I17" i="5"/>
  <c r="D14" i="5" s="1"/>
  <c r="D13" i="5"/>
  <c r="C13" i="5"/>
  <c r="D12" i="5"/>
  <c r="C12" i="5"/>
  <c r="D10" i="5"/>
  <c r="C10" i="5"/>
  <c r="D9" i="5"/>
  <c r="C9" i="5"/>
  <c r="C11" i="5" s="1"/>
  <c r="D8" i="5"/>
  <c r="C8" i="5"/>
  <c r="C9" i="4"/>
  <c r="C7" i="4"/>
  <c r="C16" i="4" s="1"/>
  <c r="D8" i="4" s="1"/>
  <c r="D11" i="5" l="1"/>
  <c r="E11" i="5"/>
  <c r="D9" i="4"/>
  <c r="C27" i="4"/>
  <c r="C22" i="4" s="1"/>
  <c r="D11" i="4"/>
  <c r="D13" i="4"/>
  <c r="D12" i="4"/>
  <c r="D7" i="4"/>
  <c r="D10" i="4"/>
  <c r="D18" i="5" l="1"/>
  <c r="D19" i="5" s="1"/>
  <c r="C18" i="5"/>
  <c r="C19" i="5" s="1"/>
  <c r="D23" i="4"/>
  <c r="D25" i="4"/>
  <c r="D21" i="4"/>
  <c r="D22" i="4"/>
  <c r="D16" i="4"/>
  <c r="D27" i="4" l="1"/>
</calcChain>
</file>

<file path=xl/sharedStrings.xml><?xml version="1.0" encoding="utf-8"?>
<sst xmlns="http://schemas.openxmlformats.org/spreadsheetml/2006/main" count="45" uniqueCount="40">
  <si>
    <t>Deutsche bank</t>
  </si>
  <si>
    <t>Investments</t>
  </si>
  <si>
    <t>Net loans</t>
  </si>
  <si>
    <t>Other assets</t>
  </si>
  <si>
    <t xml:space="preserve">     Securities</t>
  </si>
  <si>
    <t xml:space="preserve">     Derivatives</t>
  </si>
  <si>
    <t>Assets</t>
  </si>
  <si>
    <t>Total cash &amp; due from banks</t>
  </si>
  <si>
    <t>Liabilities &amp; Shareholders' Equity</t>
  </si>
  <si>
    <t>https://agm.db.com/files/documents/2023/Annual-Report-2022.pdf</t>
  </si>
  <si>
    <t>Financial assets at fair value through other comprehensive income sub</t>
  </si>
  <si>
    <t>Remaining assets</t>
  </si>
  <si>
    <t>Annual_Report_2021.pdf (db.com)</t>
  </si>
  <si>
    <t>Deposits</t>
  </si>
  <si>
    <t>market funding</t>
  </si>
  <si>
    <t xml:space="preserve">Derivatives </t>
  </si>
  <si>
    <t>Equity</t>
  </si>
  <si>
    <t>Ratios</t>
  </si>
  <si>
    <t>ROE</t>
  </si>
  <si>
    <t>Net income</t>
  </si>
  <si>
    <t>ROA</t>
  </si>
  <si>
    <t>Leverage</t>
  </si>
  <si>
    <t>Check: ROA * Levrage</t>
  </si>
  <si>
    <t>NIM</t>
  </si>
  <si>
    <t>Net interest income</t>
  </si>
  <si>
    <t>CTI</t>
  </si>
  <si>
    <t>Non interest expense</t>
  </si>
  <si>
    <t>Non interest Income</t>
  </si>
  <si>
    <t>Cost of funding</t>
  </si>
  <si>
    <t>Interest expense</t>
  </si>
  <si>
    <t>% Income on Earning Assets</t>
  </si>
  <si>
    <t>Transformation Ratio</t>
  </si>
  <si>
    <t>Earnings base</t>
  </si>
  <si>
    <t>Check</t>
  </si>
  <si>
    <t>Earning liabilities</t>
  </si>
  <si>
    <t>Interest Income</t>
  </si>
  <si>
    <t>Equity/Assets</t>
  </si>
  <si>
    <t>Provision for credit lossses</t>
  </si>
  <si>
    <t>(aux) Data  (DB Annual Report)</t>
  </si>
  <si>
    <t>Earning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</si>
</sst>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5" fillId="0" borderId="0" xfId="2"/>
    <xf numFmtId="0" fontId="4" fillId="2" borderId="0" xfId="0" applyFont="1" applyFill="1"/>
    <xf numFmtId="0" fontId="2" fillId="0" borderId="2" xfId="0" applyFont="1" applyBorder="1"/>
    <xf numFmtId="0" fontId="0" fillId="0" borderId="5" xfId="0" applyBorder="1"/>
    <xf numFmtId="9" fontId="0" fillId="0" borderId="6" xfId="1" applyFont="1" applyBorder="1"/>
    <xf numFmtId="0" fontId="0" fillId="0" borderId="7" xfId="0" applyBorder="1"/>
    <xf numFmtId="0" fontId="2" fillId="0" borderId="5" xfId="0" applyFont="1" applyBorder="1"/>
    <xf numFmtId="0" fontId="2" fillId="0" borderId="7" xfId="0" applyFont="1" applyBorder="1"/>
    <xf numFmtId="0" fontId="2" fillId="4" borderId="5" xfId="0" applyFont="1" applyFill="1" applyBorder="1"/>
    <xf numFmtId="0" fontId="0" fillId="0" borderId="0" xfId="0" applyBorder="1"/>
    <xf numFmtId="0" fontId="2" fillId="0" borderId="0" xfId="0" applyFont="1" applyBorder="1"/>
    <xf numFmtId="9" fontId="0" fillId="0" borderId="0" xfId="0" applyNumberFormat="1" applyBorder="1"/>
    <xf numFmtId="0" fontId="2" fillId="0" borderId="4" xfId="0" applyFont="1" applyBorder="1" applyAlignment="1">
      <alignment horizontal="center"/>
    </xf>
    <xf numFmtId="4" fontId="0" fillId="0" borderId="0" xfId="0" applyNumberFormat="1" applyBorder="1"/>
    <xf numFmtId="0" fontId="3" fillId="0" borderId="5" xfId="0" applyFont="1" applyBorder="1"/>
    <xf numFmtId="4" fontId="3" fillId="0" borderId="0" xfId="0" applyNumberFormat="1" applyFont="1" applyBorder="1"/>
    <xf numFmtId="0" fontId="0" fillId="0" borderId="10" xfId="0" applyBorder="1"/>
    <xf numFmtId="4" fontId="0" fillId="0" borderId="8" xfId="0" applyNumberFormat="1" applyBorder="1"/>
    <xf numFmtId="4" fontId="0" fillId="0" borderId="11" xfId="0" applyNumberFormat="1" applyBorder="1"/>
    <xf numFmtId="9" fontId="0" fillId="0" borderId="12" xfId="0" applyNumberForma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0" fillId="0" borderId="0" xfId="0" applyFill="1"/>
    <xf numFmtId="10" fontId="0" fillId="4" borderId="0" xfId="1" applyNumberFormat="1" applyFont="1" applyFill="1" applyBorder="1" applyAlignment="1">
      <alignment horizontal="center"/>
    </xf>
    <xf numFmtId="10" fontId="0" fillId="0" borderId="8" xfId="1" applyNumberFormat="1" applyFont="1" applyFill="1" applyBorder="1" applyAlignment="1">
      <alignment horizontal="center"/>
    </xf>
    <xf numFmtId="0" fontId="0" fillId="0" borderId="2" xfId="0" applyBorder="1"/>
    <xf numFmtId="0" fontId="2" fillId="0" borderId="3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10" fontId="0" fillId="0" borderId="9" xfId="1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6" xfId="0" applyFill="1" applyBorder="1"/>
    <xf numFmtId="4" fontId="0" fillId="0" borderId="6" xfId="0" applyNumberFormat="1" applyFill="1" applyBorder="1"/>
    <xf numFmtId="0" fontId="0" fillId="0" borderId="2" xfId="0" applyFill="1" applyBorder="1"/>
    <xf numFmtId="0" fontId="0" fillId="0" borderId="5" xfId="0" applyFill="1" applyBorder="1"/>
    <xf numFmtId="3" fontId="0" fillId="0" borderId="0" xfId="0" applyNumberFormat="1" applyFill="1" applyBorder="1"/>
    <xf numFmtId="4" fontId="0" fillId="0" borderId="0" xfId="0" applyNumberFormat="1" applyFill="1" applyBorder="1"/>
    <xf numFmtId="0" fontId="0" fillId="0" borderId="7" xfId="0" applyFill="1" applyBorder="1"/>
    <xf numFmtId="4" fontId="0" fillId="0" borderId="8" xfId="0" applyNumberFormat="1" applyFill="1" applyBorder="1"/>
    <xf numFmtId="4" fontId="0" fillId="0" borderId="9" xfId="0" applyNumberFormat="1" applyFill="1" applyBorder="1"/>
    <xf numFmtId="3" fontId="0" fillId="0" borderId="6" xfId="0" applyNumberFormat="1" applyFill="1" applyBorder="1"/>
    <xf numFmtId="10" fontId="0" fillId="0" borderId="6" xfId="1" applyNumberFormat="1" applyFont="1" applyFill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0" fontId="0" fillId="4" borderId="6" xfId="1" applyNumberFormat="1" applyFont="1" applyFill="1" applyBorder="1" applyAlignment="1">
      <alignment horizontal="center"/>
    </xf>
    <xf numFmtId="10" fontId="0" fillId="3" borderId="6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 applyBorder="1"/>
    <xf numFmtId="9" fontId="6" fillId="0" borderId="0" xfId="0" applyNumberFormat="1" applyFont="1" applyBorder="1"/>
    <xf numFmtId="164" fontId="0" fillId="0" borderId="6" xfId="1" applyNumberFormat="1" applyFont="1" applyFill="1" applyBorder="1"/>
    <xf numFmtId="164" fontId="3" fillId="0" borderId="6" xfId="1" applyNumberFormat="1" applyFont="1" applyFill="1" applyBorder="1"/>
    <xf numFmtId="9" fontId="0" fillId="0" borderId="9" xfId="1" applyFont="1" applyFill="1" applyBorder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vestor-relations.db.com/files/documents/annual-reports/2022/Annual_Report_2021.pdf?language_id=1" TargetMode="External"/><Relationship Id="rId1" Type="http://schemas.openxmlformats.org/officeDocument/2006/relationships/hyperlink" Target="https://agm.db.com/files/documents/2023/Annual-Report-2022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investor-relations.db.com/files/documents/annual-reports/2022/Annual_Report_2021.pdf?language_id=1" TargetMode="External"/><Relationship Id="rId1" Type="http://schemas.openxmlformats.org/officeDocument/2006/relationships/hyperlink" Target="https://agm.db.com/files/documents/2023/Annual-Report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F3CFD-7506-423F-95AE-C1CDAF4B591C}">
  <dimension ref="B2:J22"/>
  <sheetViews>
    <sheetView tabSelected="1" zoomScale="90" zoomScaleNormal="90" workbookViewId="0">
      <selection activeCell="E15" sqref="E15"/>
    </sheetView>
  </sheetViews>
  <sheetFormatPr defaultRowHeight="14.5" x14ac:dyDescent="0.35"/>
  <cols>
    <col min="2" max="2" width="30.1796875" bestFit="1" customWidth="1"/>
    <col min="3" max="3" width="12.26953125" customWidth="1"/>
    <col min="4" max="4" width="10.6328125" customWidth="1"/>
    <col min="5" max="5" width="12" bestFit="1" customWidth="1"/>
    <col min="7" max="7" width="23.08984375" bestFit="1" customWidth="1"/>
    <col min="8" max="9" width="11.54296875" bestFit="1" customWidth="1"/>
    <col min="11" max="11" width="26.1796875" customWidth="1"/>
    <col min="12" max="12" width="16.81640625" bestFit="1" customWidth="1"/>
    <col min="13" max="13" width="13.1796875" bestFit="1" customWidth="1"/>
    <col min="18" max="18" width="23.81640625" customWidth="1"/>
    <col min="19" max="19" width="20.26953125" customWidth="1"/>
    <col min="20" max="20" width="12.54296875" bestFit="1" customWidth="1"/>
  </cols>
  <sheetData>
    <row r="2" spans="2:10" x14ac:dyDescent="0.35">
      <c r="B2" s="4" t="s">
        <v>0</v>
      </c>
    </row>
    <row r="3" spans="2:10" x14ac:dyDescent="0.35">
      <c r="B3" s="3" t="s">
        <v>9</v>
      </c>
      <c r="G3" s="12"/>
      <c r="H3" s="12"/>
      <c r="I3" s="12"/>
    </row>
    <row r="4" spans="2:10" x14ac:dyDescent="0.35">
      <c r="B4" s="3" t="s">
        <v>12</v>
      </c>
      <c r="G4" s="12"/>
      <c r="H4" s="12"/>
      <c r="I4" s="12"/>
    </row>
    <row r="6" spans="2:10" ht="15" thickBot="1" x14ac:dyDescent="0.4">
      <c r="B6" t="s">
        <v>17</v>
      </c>
      <c r="G6" s="12" t="s">
        <v>38</v>
      </c>
      <c r="H6" s="12"/>
      <c r="I6" s="12"/>
      <c r="J6" s="26"/>
    </row>
    <row r="7" spans="2:10" x14ac:dyDescent="0.35">
      <c r="B7" s="29"/>
      <c r="C7" s="30">
        <v>2022</v>
      </c>
      <c r="D7" s="15">
        <v>2020</v>
      </c>
      <c r="G7" s="37"/>
      <c r="H7" s="30">
        <v>2022</v>
      </c>
      <c r="I7" s="34">
        <v>2020</v>
      </c>
      <c r="J7" s="26"/>
    </row>
    <row r="8" spans="2:10" x14ac:dyDescent="0.35">
      <c r="B8" s="9" t="s">
        <v>18</v>
      </c>
      <c r="C8" s="25">
        <f>H8/H9</f>
        <v>7.8240791947793389E-2</v>
      </c>
      <c r="D8" s="46">
        <f>+I8/I9</f>
        <v>1.0032799536947714E-2</v>
      </c>
      <c r="G8" s="38" t="s">
        <v>19</v>
      </c>
      <c r="H8" s="32">
        <v>5659</v>
      </c>
      <c r="I8" s="35">
        <v>624</v>
      </c>
      <c r="J8" s="26"/>
    </row>
    <row r="9" spans="2:10" x14ac:dyDescent="0.35">
      <c r="B9" s="9" t="s">
        <v>20</v>
      </c>
      <c r="C9" s="25">
        <f>H8/H10</f>
        <v>4.2332815674587148E-3</v>
      </c>
      <c r="D9" s="46">
        <f>I8/I10</f>
        <v>4.7085135811188606E-4</v>
      </c>
      <c r="G9" s="38" t="s">
        <v>16</v>
      </c>
      <c r="H9" s="39">
        <v>72328</v>
      </c>
      <c r="I9" s="36">
        <v>62196</v>
      </c>
      <c r="J9" s="26"/>
    </row>
    <row r="10" spans="2:10" x14ac:dyDescent="0.35">
      <c r="B10" s="9" t="s">
        <v>21</v>
      </c>
      <c r="C10" s="31">
        <f>H10/H9</f>
        <v>18.482302842605908</v>
      </c>
      <c r="D10" s="47">
        <f>I10/I9</f>
        <v>21.307785066563767</v>
      </c>
      <c r="G10" s="38" t="s">
        <v>6</v>
      </c>
      <c r="H10" s="40">
        <v>1336788</v>
      </c>
      <c r="I10" s="36">
        <v>1325259</v>
      </c>
      <c r="J10" s="26"/>
    </row>
    <row r="11" spans="2:10" x14ac:dyDescent="0.35">
      <c r="B11" s="11" t="s">
        <v>22</v>
      </c>
      <c r="C11" s="27">
        <f>C9*C10</f>
        <v>7.8240791947793389E-2</v>
      </c>
      <c r="D11" s="48">
        <f>D10*D9</f>
        <v>1.0032799536947714E-2</v>
      </c>
      <c r="E11" t="b">
        <f>C11=C8</f>
        <v>1</v>
      </c>
      <c r="G11" s="38" t="s">
        <v>24</v>
      </c>
      <c r="H11" s="40">
        <v>13650</v>
      </c>
      <c r="I11" s="36">
        <v>11526</v>
      </c>
      <c r="J11" s="26"/>
    </row>
    <row r="12" spans="2:10" x14ac:dyDescent="0.35">
      <c r="B12" s="9" t="s">
        <v>23</v>
      </c>
      <c r="C12" s="25">
        <f>H11/H10</f>
        <v>1.0211043187102219E-2</v>
      </c>
      <c r="D12" s="46">
        <f>I11/I10</f>
        <v>8.6971678743551252E-3</v>
      </c>
      <c r="G12" s="38" t="s">
        <v>26</v>
      </c>
      <c r="H12" s="40">
        <v>20390</v>
      </c>
      <c r="I12" s="36">
        <v>21216</v>
      </c>
      <c r="J12" s="26"/>
    </row>
    <row r="13" spans="2:10" x14ac:dyDescent="0.35">
      <c r="B13" s="9" t="s">
        <v>25</v>
      </c>
      <c r="C13" s="25">
        <f>H12/(H11+H13-H15)</f>
        <v>0.78471366995073888</v>
      </c>
      <c r="D13" s="49">
        <f>I12/(I11+I13-I15)</f>
        <v>0.95408553312047484</v>
      </c>
      <c r="G13" s="38" t="s">
        <v>27</v>
      </c>
      <c r="H13" s="40">
        <v>13560</v>
      </c>
      <c r="I13" s="36">
        <v>12503</v>
      </c>
      <c r="J13" s="26"/>
    </row>
    <row r="14" spans="2:10" x14ac:dyDescent="0.35">
      <c r="B14" s="9" t="s">
        <v>28</v>
      </c>
      <c r="C14" s="25">
        <f>H14/H17</f>
        <v>9.2861627541944262E-3</v>
      </c>
      <c r="D14" s="45">
        <f>I14/(I17)</f>
        <v>5.4886133123344351E-3</v>
      </c>
      <c r="G14" s="38" t="s">
        <v>29</v>
      </c>
      <c r="H14" s="40">
        <v>10649</v>
      </c>
      <c r="I14" s="36">
        <v>6280</v>
      </c>
      <c r="J14" s="26"/>
    </row>
    <row r="15" spans="2:10" x14ac:dyDescent="0.35">
      <c r="B15" s="9" t="s">
        <v>30</v>
      </c>
      <c r="C15" s="25">
        <f>H18/H16</f>
        <v>2.032844761235485E-2</v>
      </c>
      <c r="D15" s="45">
        <f>I18/I16</f>
        <v>1.4904883638780488E-2</v>
      </c>
      <c r="G15" s="38" t="s">
        <v>37</v>
      </c>
      <c r="H15" s="39">
        <v>1226</v>
      </c>
      <c r="I15" s="36">
        <v>1792</v>
      </c>
      <c r="J15" s="26"/>
    </row>
    <row r="16" spans="2:10" x14ac:dyDescent="0.35">
      <c r="B16" s="9" t="s">
        <v>31</v>
      </c>
      <c r="C16" s="25">
        <f>H17/H16</f>
        <v>0.9593748954254927</v>
      </c>
      <c r="D16" s="45">
        <f>I17/I16</f>
        <v>0.95776559002613337</v>
      </c>
      <c r="G16" s="38" t="s">
        <v>39</v>
      </c>
      <c r="H16" s="39">
        <f>+H10-H19</f>
        <v>1195320</v>
      </c>
      <c r="I16" s="44">
        <f>+I10-I19</f>
        <v>1194642</v>
      </c>
      <c r="J16" s="26"/>
    </row>
    <row r="17" spans="2:10" x14ac:dyDescent="0.35">
      <c r="B17" s="9" t="s">
        <v>32</v>
      </c>
      <c r="C17" s="25">
        <f>H16/H10</f>
        <v>0.8941731972459358</v>
      </c>
      <c r="D17" s="45">
        <f>I16/I10</f>
        <v>0.90144039768830098</v>
      </c>
      <c r="G17" s="38" t="s">
        <v>34</v>
      </c>
      <c r="H17" s="40">
        <f>1264460-117700</f>
        <v>1146760</v>
      </c>
      <c r="I17" s="36">
        <f>1263063-118876</f>
        <v>1144187</v>
      </c>
      <c r="J17" s="26"/>
    </row>
    <row r="18" spans="2:10" x14ac:dyDescent="0.35">
      <c r="B18" s="11" t="s">
        <v>33</v>
      </c>
      <c r="C18" s="27">
        <f>+(C15-C14*C16)*C17</f>
        <v>1.0211043187102219E-2</v>
      </c>
      <c r="D18" s="48">
        <f>+(D15-D14*D16)*D17</f>
        <v>8.6971678743551252E-3</v>
      </c>
      <c r="G18" s="38" t="s">
        <v>35</v>
      </c>
      <c r="H18" s="40">
        <v>24299</v>
      </c>
      <c r="I18" s="36">
        <v>17806</v>
      </c>
      <c r="J18" s="32"/>
    </row>
    <row r="19" spans="2:10" ht="15" thickBot="1" x14ac:dyDescent="0.4">
      <c r="B19" s="6"/>
      <c r="C19" s="32" t="b">
        <f>C18=C12</f>
        <v>1</v>
      </c>
      <c r="D19" s="50" t="b">
        <f>D18=D12</f>
        <v>1</v>
      </c>
      <c r="G19" s="41" t="s">
        <v>3</v>
      </c>
      <c r="H19" s="42">
        <v>141468</v>
      </c>
      <c r="I19" s="43">
        <v>130617</v>
      </c>
      <c r="J19" s="32"/>
    </row>
    <row r="20" spans="2:10" ht="15" thickBot="1" x14ac:dyDescent="0.4">
      <c r="B20" s="10" t="s">
        <v>36</v>
      </c>
      <c r="C20" s="28">
        <f>H9/H10</f>
        <v>5.4105811841518622E-2</v>
      </c>
      <c r="D20" s="33">
        <f>I9/I10</f>
        <v>4.6931203636421261E-2</v>
      </c>
      <c r="E20" s="12"/>
      <c r="F20" s="12"/>
      <c r="J20" s="32"/>
    </row>
    <row r="21" spans="2:10" x14ac:dyDescent="0.35">
      <c r="E21" s="12"/>
      <c r="F21" s="12"/>
      <c r="G21" s="32"/>
      <c r="H21" s="32"/>
      <c r="I21" s="32"/>
      <c r="J21" s="32"/>
    </row>
    <row r="22" spans="2:10" x14ac:dyDescent="0.35">
      <c r="G22" s="32"/>
      <c r="H22" s="32"/>
      <c r="I22" s="32"/>
    </row>
  </sheetData>
  <hyperlinks>
    <hyperlink ref="B3" r:id="rId1" xr:uid="{81391F41-BB6B-4DFB-AAED-14D34509EE92}"/>
    <hyperlink ref="B4" r:id="rId2" display="https://investor-relations.db.com/files/documents/annual-reports/2022/Annual_Report_2021.pdf?language_id=1" xr:uid="{7172AB20-6174-42F8-BC56-EF8841336C86}"/>
  </hyperlinks>
  <pageMargins left="0.7" right="0.7" top="0.75" bottom="0.75" header="0.3" footer="0.3"/>
  <pageSetup paperSize="9" orientation="portrait" horizontalDpi="1200" verticalDpi="1200" r:id="rId3"/>
  <headerFooter>
    <oddFooter>&amp;C_x000D_&amp;1#&amp;"Calibri"&amp;11&amp;K0078D7 Interno - Banco de Portugal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7ACE5-EB6B-434C-95BA-7B7F668EE508}">
  <dimension ref="B2:I27"/>
  <sheetViews>
    <sheetView zoomScale="67" zoomScaleNormal="100" workbookViewId="0">
      <selection activeCell="F17" sqref="F17"/>
    </sheetView>
  </sheetViews>
  <sheetFormatPr defaultRowHeight="14.5" x14ac:dyDescent="0.35"/>
  <cols>
    <col min="2" max="2" width="30.26953125" bestFit="1" customWidth="1"/>
    <col min="3" max="3" width="17.7265625" customWidth="1"/>
    <col min="4" max="4" width="8.81640625" bestFit="1" customWidth="1"/>
    <col min="6" max="6" width="14.26953125" bestFit="1" customWidth="1"/>
    <col min="7" max="8" width="11.1796875" bestFit="1" customWidth="1"/>
    <col min="11" max="11" width="26.1796875" customWidth="1"/>
    <col min="12" max="12" width="16.81640625" bestFit="1" customWidth="1"/>
    <col min="13" max="13" width="13.1796875" bestFit="1" customWidth="1"/>
    <col min="18" max="18" width="23.81640625" customWidth="1"/>
    <col min="19" max="19" width="20.26953125" customWidth="1"/>
    <col min="20" max="20" width="12.54296875" bestFit="1" customWidth="1"/>
  </cols>
  <sheetData>
    <row r="2" spans="2:9" x14ac:dyDescent="0.35">
      <c r="B2" s="4" t="s">
        <v>0</v>
      </c>
    </row>
    <row r="3" spans="2:9" x14ac:dyDescent="0.35">
      <c r="B3" s="3" t="s">
        <v>9</v>
      </c>
      <c r="E3" s="12"/>
      <c r="F3" s="12"/>
      <c r="G3" s="12"/>
      <c r="H3" s="12"/>
      <c r="I3" s="12"/>
    </row>
    <row r="4" spans="2:9" x14ac:dyDescent="0.35">
      <c r="B4" s="3" t="s">
        <v>12</v>
      </c>
      <c r="E4" s="12"/>
      <c r="F4" s="12"/>
      <c r="G4" s="12"/>
      <c r="H4" s="12"/>
      <c r="I4" s="12"/>
    </row>
    <row r="5" spans="2:9" ht="15" thickBot="1" x14ac:dyDescent="0.4">
      <c r="E5" s="12"/>
      <c r="F5" s="12"/>
      <c r="G5" s="12"/>
      <c r="H5" s="12"/>
      <c r="I5" s="12"/>
    </row>
    <row r="6" spans="2:9" ht="15.5" x14ac:dyDescent="0.35">
      <c r="B6" s="5" t="s">
        <v>6</v>
      </c>
      <c r="C6" s="23">
        <v>2022</v>
      </c>
      <c r="D6" s="24"/>
      <c r="E6" s="12"/>
      <c r="F6" s="52"/>
      <c r="G6" s="13"/>
      <c r="H6" s="13"/>
      <c r="I6" s="12"/>
    </row>
    <row r="7" spans="2:9" ht="15.5" x14ac:dyDescent="0.35">
      <c r="B7" s="6" t="s">
        <v>7</v>
      </c>
      <c r="C7" s="16">
        <f>186091+11478</f>
        <v>197569</v>
      </c>
      <c r="D7" s="53">
        <f>+C7/C$16</f>
        <v>0.14779381622216836</v>
      </c>
      <c r="E7" s="12"/>
      <c r="F7" s="52"/>
      <c r="G7" s="14"/>
      <c r="H7" s="14"/>
      <c r="I7" s="12"/>
    </row>
    <row r="8" spans="2:9" ht="15.5" x14ac:dyDescent="0.35">
      <c r="B8" s="6" t="s">
        <v>1</v>
      </c>
      <c r="C8" s="16">
        <v>482376</v>
      </c>
      <c r="D8" s="53">
        <f>+C8/C$16</f>
        <v>0.36084704530561318</v>
      </c>
      <c r="E8" s="12"/>
      <c r="F8" s="52"/>
      <c r="G8" s="14"/>
      <c r="H8" s="14"/>
      <c r="I8" s="12"/>
    </row>
    <row r="9" spans="2:9" ht="15.5" x14ac:dyDescent="0.35">
      <c r="B9" s="17" t="s">
        <v>4</v>
      </c>
      <c r="C9" s="18">
        <f>+C8-C10</f>
        <v>182690</v>
      </c>
      <c r="D9" s="54">
        <f>+C9/C$16</f>
        <v>0.13666340511734096</v>
      </c>
      <c r="E9" s="12"/>
      <c r="F9" s="52"/>
      <c r="G9" s="14"/>
      <c r="H9" s="14"/>
      <c r="I9" s="12"/>
    </row>
    <row r="10" spans="2:9" ht="15.5" x14ac:dyDescent="0.35">
      <c r="B10" s="17" t="s">
        <v>5</v>
      </c>
      <c r="C10" s="18">
        <v>299686</v>
      </c>
      <c r="D10" s="54">
        <f>+C10/C$16</f>
        <v>0.22418364018827219</v>
      </c>
      <c r="E10" s="12"/>
      <c r="F10" s="52"/>
      <c r="G10" s="14"/>
      <c r="H10" s="14"/>
      <c r="I10" s="12"/>
    </row>
    <row r="11" spans="2:9" ht="15.5" x14ac:dyDescent="0.35">
      <c r="B11" s="6" t="s">
        <v>2</v>
      </c>
      <c r="C11" s="12">
        <v>483700</v>
      </c>
      <c r="D11" s="53">
        <f>+C11/C$16</f>
        <v>0.36183747909167346</v>
      </c>
      <c r="E11" s="12"/>
      <c r="F11" s="52"/>
      <c r="G11" s="14"/>
      <c r="H11" s="14"/>
      <c r="I11" s="12"/>
    </row>
    <row r="12" spans="2:9" x14ac:dyDescent="0.35">
      <c r="B12" s="6" t="s">
        <v>10</v>
      </c>
      <c r="C12" s="16">
        <v>31675</v>
      </c>
      <c r="D12" s="53">
        <f>+C12/C$16</f>
        <v>2.3694856626480788E-2</v>
      </c>
      <c r="E12" s="12"/>
      <c r="F12" s="12"/>
      <c r="G12" s="12"/>
      <c r="H12" s="14"/>
      <c r="I12" s="12"/>
    </row>
    <row r="13" spans="2:9" x14ac:dyDescent="0.35">
      <c r="B13" s="6" t="s">
        <v>11</v>
      </c>
      <c r="C13" s="16">
        <v>141468</v>
      </c>
      <c r="D13" s="53">
        <f>+C13/C$16</f>
        <v>0.10582680275406423</v>
      </c>
      <c r="E13" s="12"/>
      <c r="F13" s="51"/>
      <c r="G13" s="14"/>
      <c r="H13" s="14"/>
      <c r="I13" s="12"/>
    </row>
    <row r="14" spans="2:9" hidden="1" x14ac:dyDescent="0.35">
      <c r="B14" s="6"/>
      <c r="C14" s="16"/>
      <c r="D14" s="53"/>
      <c r="E14" s="12"/>
      <c r="F14" s="12"/>
      <c r="G14" s="12"/>
      <c r="H14" s="12"/>
      <c r="I14" s="12"/>
    </row>
    <row r="15" spans="2:9" x14ac:dyDescent="0.35">
      <c r="B15" s="6"/>
      <c r="C15" s="2"/>
      <c r="D15" s="19"/>
    </row>
    <row r="16" spans="2:9" ht="15" thickBot="1" x14ac:dyDescent="0.4">
      <c r="B16" s="8"/>
      <c r="C16" s="20">
        <f>+C7+C8+C11+C12+C13+C14</f>
        <v>1336788</v>
      </c>
      <c r="D16" s="55">
        <f>+D7+D8+D11+D12+D13+D14</f>
        <v>0.99999999999999989</v>
      </c>
    </row>
    <row r="17" spans="2:4" x14ac:dyDescent="0.35">
      <c r="C17" s="1"/>
    </row>
    <row r="19" spans="2:4" ht="15" thickBot="1" x14ac:dyDescent="0.4"/>
    <row r="20" spans="2:4" x14ac:dyDescent="0.35">
      <c r="B20" s="5" t="s">
        <v>8</v>
      </c>
      <c r="C20" s="23">
        <v>2022</v>
      </c>
      <c r="D20" s="24"/>
    </row>
    <row r="21" spans="2:4" x14ac:dyDescent="0.35">
      <c r="B21" s="6" t="s">
        <v>13</v>
      </c>
      <c r="C21" s="12">
        <v>621456</v>
      </c>
      <c r="D21" s="7">
        <f>+C21/$C$27</f>
        <v>0.46488747654826346</v>
      </c>
    </row>
    <row r="22" spans="2:4" x14ac:dyDescent="0.35">
      <c r="B22" s="6" t="s">
        <v>14</v>
      </c>
      <c r="C22" s="16">
        <f>+C27-C21-C23-C25</f>
        <v>360651</v>
      </c>
      <c r="D22" s="7">
        <f t="shared" ref="D22:D25" si="0">+C22/$C$27</f>
        <v>0.26978922611513567</v>
      </c>
    </row>
    <row r="23" spans="2:4" x14ac:dyDescent="0.35">
      <c r="B23" s="6" t="s">
        <v>15</v>
      </c>
      <c r="C23" s="12">
        <v>282353</v>
      </c>
      <c r="D23" s="7">
        <f t="shared" si="0"/>
        <v>0.21121748549508224</v>
      </c>
    </row>
    <row r="24" spans="2:4" x14ac:dyDescent="0.35">
      <c r="B24" s="6"/>
      <c r="C24" s="12"/>
      <c r="D24" s="7"/>
    </row>
    <row r="25" spans="2:4" x14ac:dyDescent="0.35">
      <c r="B25" s="6" t="s">
        <v>16</v>
      </c>
      <c r="C25" s="12">
        <v>72328</v>
      </c>
      <c r="D25" s="7">
        <f t="shared" si="0"/>
        <v>5.4105811841518622E-2</v>
      </c>
    </row>
    <row r="26" spans="2:4" x14ac:dyDescent="0.35">
      <c r="B26" s="6"/>
      <c r="C26" s="12"/>
      <c r="D26" s="7"/>
    </row>
    <row r="27" spans="2:4" ht="15" thickBot="1" x14ac:dyDescent="0.4">
      <c r="B27" s="8"/>
      <c r="C27" s="21">
        <f>+C16</f>
        <v>1336788</v>
      </c>
      <c r="D27" s="22">
        <f>+D21+D22+D23+D25</f>
        <v>1</v>
      </c>
    </row>
  </sheetData>
  <mergeCells count="2">
    <mergeCell ref="C6:D6"/>
    <mergeCell ref="C20:D20"/>
  </mergeCells>
  <hyperlinks>
    <hyperlink ref="B3" r:id="rId1" xr:uid="{F367B161-A785-4AC9-9CCA-8113DCA2FBC1}"/>
    <hyperlink ref="B4" r:id="rId2" display="https://investor-relations.db.com/files/documents/annual-reports/2022/Annual_Report_2021.pdf?language_id=1" xr:uid="{6CB3D991-D11A-488E-A7CB-B378155AD14B}"/>
  </hyperlinks>
  <pageMargins left="0.7" right="0.7" top="0.75" bottom="0.75" header="0.3" footer="0.3"/>
  <pageSetup paperSize="9" orientation="portrait" horizontalDpi="1200" verticalDpi="1200" r:id="rId3"/>
  <headerFooter>
    <oddFooter>&amp;C_x000D_&amp;1#&amp;"Calibri"&amp;11&amp;K0078D7 Interno - Banco de Portugal</oddFooter>
  </headerFooter>
  <ignoredErrors>
    <ignoredError sqref="D9 D27 D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DB_Ratios</vt:lpstr>
      <vt:lpstr>DB_Balancesheet_simpl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I. Lacerda</dc:creator>
  <cp:lastModifiedBy>Ana I. Lacerda</cp:lastModifiedBy>
  <dcterms:created xsi:type="dcterms:W3CDTF">2023-09-10T16:03:59Z</dcterms:created>
  <dcterms:modified xsi:type="dcterms:W3CDTF">2023-10-07T14:52:00Z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0305b7-dc55-4130-a955-5014a503d477_Enabled">
    <vt:lpwstr>true</vt:lpwstr>
  </property>
  <property fmtid="{D5CDD505-2E9C-101B-9397-08002B2CF9AE}" pid="3" name="MSIP_Label_a10305b7-dc55-4130-a955-5014a503d477_SetDate">
    <vt:lpwstr>2023-09-13T21:47:11Z</vt:lpwstr>
  </property>
  <property fmtid="{D5CDD505-2E9C-101B-9397-08002B2CF9AE}" pid="4" name="MSIP_Label_a10305b7-dc55-4130-a955-5014a503d477_Method">
    <vt:lpwstr>Privileged</vt:lpwstr>
  </property>
  <property fmtid="{D5CDD505-2E9C-101B-9397-08002B2CF9AE}" pid="5" name="MSIP_Label_a10305b7-dc55-4130-a955-5014a503d477_Name">
    <vt:lpwstr>Interno - Com marca de água</vt:lpwstr>
  </property>
  <property fmtid="{D5CDD505-2E9C-101B-9397-08002B2CF9AE}" pid="6" name="MSIP_Label_a10305b7-dc55-4130-a955-5014a503d477_SiteId">
    <vt:lpwstr>f92c299d-3d5a-4621-abd4-755e52e5161d</vt:lpwstr>
  </property>
  <property fmtid="{D5CDD505-2E9C-101B-9397-08002B2CF9AE}" pid="7" name="MSIP_Label_a10305b7-dc55-4130-a955-5014a503d477_ActionId">
    <vt:lpwstr>d792cb3b-9b74-4da7-9403-fc4198e19386</vt:lpwstr>
  </property>
  <property fmtid="{D5CDD505-2E9C-101B-9397-08002B2CF9AE}" pid="8" name="MSIP_Label_a10305b7-dc55-4130-a955-5014a503d477_ContentBits">
    <vt:lpwstr>2</vt:lpwstr>
  </property>
</Properties>
</file>