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argarida.soares\Dropbox\Nova SBE\Nova SBE Teaching\Advanced Financial Management\Fall 2023-2024\Lecture 06\Exercise set\"/>
    </mc:Choice>
  </mc:AlternateContent>
  <xr:revisionPtr revIDLastSave="0" documentId="13_ncr:1_{F9267DDC-EF57-40C2-8320-979C9A829A65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Ecoglass" sheetId="8" r:id="rId1"/>
    <sheet name="Eanos" sheetId="9" r:id="rId2"/>
    <sheet name="CarcavelluSurf" sheetId="10" r:id="rId3"/>
    <sheet name="Magnus" sheetId="11" r:id="rId4"/>
    <sheet name="Wonky" sheetId="12" r:id="rId5"/>
    <sheet name="Maria" sheetId="13" r:id="rId6"/>
    <sheet name="Other" sheetId="14" r:id="rId7"/>
  </sheets>
  <externalReferences>
    <externalReference r:id="rId8"/>
  </externalReferences>
  <definedNames>
    <definedName name="______wrn2" hidden="1">{"Assump1",#N/A,TRUE,"Assumptions";"Assump2",#N/A,TRUE,"Assumptions"}</definedName>
    <definedName name="_____wrn2" hidden="1">{"Assump1",#N/A,TRUE,"Assumptions";"Assump2",#N/A,TRUE,"Assumptions"}</definedName>
    <definedName name="____wrn2" hidden="1">{"Assump1",#N/A,TRUE,"Assumptions";"Assump2",#N/A,TRUE,"Assumptions"}</definedName>
    <definedName name="___wrn2" hidden="1">{"Assump1",#N/A,TRUE,"Assumptions";"Assump2",#N/A,TRUE,"Assumptions"}</definedName>
    <definedName name="__wrn2" hidden="1">{"Assump1",#N/A,TRUE,"Assumptions";"Assump2",#N/A,TRUE,"Assumptions"}</definedName>
    <definedName name="_wrn2" hidden="1">{"Assump1",#N/A,TRUE,"Assumptions";"Assump2",#N/A,TRUE,"Assumptions"}</definedName>
    <definedName name="AS2DocOpenMode" hidden="1">"AS2DocumentEdit"</definedName>
    <definedName name="BLPH1" hidden="1">'[1]PSI20 Graph'!$B$3</definedName>
    <definedName name="BLPH2" hidden="1">'[1]PSI20 Graph'!$B$17</definedName>
    <definedName name="DPR" hidden="1">{"Assump1",#N/A,TRUE,"Assumptions";"Assump2",#N/A,TRUE,"Assumptions"}</definedName>
    <definedName name="New" hidden="1">{"Assump1",#N/A,TRUE,"Assumptions";"Assump2",#N/A,TRUE,"Assumptions"}</definedName>
    <definedName name="Sierra2" hidden="1">{"Assump1",#N/A,TRUE,"Assumptions";"Assump2",#N/A,TRUE,"Assumptions"}</definedName>
    <definedName name="TextRefCopyRangeCount" hidden="1">11</definedName>
    <definedName name="wrn.Assumptions." hidden="1">{"Assump1",#N/A,TRUE,"Assumptions";"Assump2",#N/A,TRUE,"Assumptions"}</definedName>
    <definedName name="wrn.LOURES." hidden="1">{"LOURES1",#N/A,TRUE,"Sheet1";"LOURES2",#N/A,TRUE,"Sheet1"}</definedName>
    <definedName name="wrn.pdf." hidden="1">{#N/A,#N/A,FALSE,"d111a-bdie-d"}</definedName>
    <definedName name="XRefCopyRangeCount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12" l="1"/>
  <c r="D27" i="9" l="1"/>
  <c r="G37" i="8" l="1"/>
  <c r="F36" i="9"/>
  <c r="E21" i="8" l="1"/>
  <c r="E18" i="8"/>
  <c r="C14" i="14" l="1"/>
  <c r="C15" i="14" s="1"/>
  <c r="C13" i="14"/>
  <c r="C12" i="14"/>
  <c r="C11" i="14"/>
  <c r="F42" i="13"/>
  <c r="E42" i="13"/>
  <c r="D42" i="13"/>
  <c r="C42" i="13"/>
  <c r="F38" i="13"/>
  <c r="F33" i="13"/>
  <c r="E33" i="13"/>
  <c r="D33" i="13"/>
  <c r="C38" i="13"/>
  <c r="C37" i="13" s="1"/>
  <c r="F23" i="13"/>
  <c r="E38" i="13" s="1"/>
  <c r="E23" i="13"/>
  <c r="D38" i="13" s="1"/>
  <c r="D23" i="13"/>
  <c r="F22" i="13"/>
  <c r="E22" i="13"/>
  <c r="D22" i="13"/>
  <c r="C13" i="13"/>
  <c r="F24" i="13" s="1"/>
  <c r="F35" i="13"/>
  <c r="E34" i="13"/>
  <c r="D34" i="13"/>
  <c r="C32" i="13"/>
  <c r="C39" i="13" s="1"/>
  <c r="F26" i="13"/>
  <c r="E26" i="13"/>
  <c r="D26" i="13"/>
  <c r="F38" i="12"/>
  <c r="F37" i="12"/>
  <c r="G40" i="12"/>
  <c r="F40" i="12"/>
  <c r="E40" i="12"/>
  <c r="D40" i="12"/>
  <c r="F27" i="12"/>
  <c r="F28" i="12" s="1"/>
  <c r="F30" i="12" s="1"/>
  <c r="E27" i="12"/>
  <c r="D27" i="12"/>
  <c r="E28" i="12"/>
  <c r="D28" i="12"/>
  <c r="F25" i="12"/>
  <c r="E25" i="12"/>
  <c r="D25" i="12"/>
  <c r="D26" i="12"/>
  <c r="E26" i="12"/>
  <c r="F26" i="12"/>
  <c r="F24" i="12"/>
  <c r="F23" i="12" s="1"/>
  <c r="E24" i="12"/>
  <c r="D24" i="12"/>
  <c r="D23" i="12" s="1"/>
  <c r="D29" i="12"/>
  <c r="E29" i="12"/>
  <c r="F29" i="12"/>
  <c r="F36" i="12"/>
  <c r="E36" i="12"/>
  <c r="D36" i="12"/>
  <c r="C35" i="12"/>
  <c r="G28" i="11"/>
  <c r="G26" i="11" s="1"/>
  <c r="G31" i="11" s="1"/>
  <c r="G27" i="11"/>
  <c r="F31" i="11"/>
  <c r="E31" i="11"/>
  <c r="D31" i="11"/>
  <c r="C31" i="11"/>
  <c r="F26" i="11"/>
  <c r="E26" i="11"/>
  <c r="D26" i="11"/>
  <c r="C29" i="11"/>
  <c r="G30" i="11"/>
  <c r="F30" i="11"/>
  <c r="E30" i="11"/>
  <c r="D30" i="11"/>
  <c r="C30" i="11"/>
  <c r="G19" i="11"/>
  <c r="F19" i="11"/>
  <c r="E19" i="11"/>
  <c r="D19" i="11"/>
  <c r="G18" i="11"/>
  <c r="F18" i="11"/>
  <c r="E18" i="11"/>
  <c r="D18" i="11"/>
  <c r="G17" i="11"/>
  <c r="F17" i="11"/>
  <c r="E17" i="11"/>
  <c r="D17" i="11"/>
  <c r="C25" i="11"/>
  <c r="H41" i="10"/>
  <c r="G41" i="10"/>
  <c r="F41" i="10"/>
  <c r="E41" i="10"/>
  <c r="D41" i="10"/>
  <c r="C41" i="10"/>
  <c r="C42" i="10"/>
  <c r="D40" i="10"/>
  <c r="H37" i="10"/>
  <c r="C35" i="10"/>
  <c r="G29" i="10"/>
  <c r="F29" i="10"/>
  <c r="E29" i="10"/>
  <c r="D29" i="10"/>
  <c r="G26" i="10"/>
  <c r="F26" i="10"/>
  <c r="E26" i="10"/>
  <c r="D26" i="10"/>
  <c r="F31" i="9"/>
  <c r="E31" i="9"/>
  <c r="D31" i="9"/>
  <c r="F27" i="9"/>
  <c r="E27" i="9"/>
  <c r="G34" i="8"/>
  <c r="F34" i="8"/>
  <c r="E34" i="8"/>
  <c r="D34" i="8"/>
  <c r="G26" i="8"/>
  <c r="F26" i="8"/>
  <c r="E26" i="8"/>
  <c r="G24" i="8"/>
  <c r="F24" i="8"/>
  <c r="E24" i="8"/>
  <c r="D24" i="10"/>
  <c r="E24" i="10" s="1"/>
  <c r="F24" i="10" s="1"/>
  <c r="G24" i="10" s="1"/>
  <c r="D23" i="10"/>
  <c r="E23" i="10" s="1"/>
  <c r="F23" i="10" s="1"/>
  <c r="G23" i="10" s="1"/>
  <c r="G25" i="10" s="1"/>
  <c r="F35" i="9"/>
  <c r="F21" i="9"/>
  <c r="F24" i="9" s="1"/>
  <c r="E21" i="9"/>
  <c r="E24" i="9" s="1"/>
  <c r="D21" i="9"/>
  <c r="D24" i="9" s="1"/>
  <c r="F20" i="9"/>
  <c r="F23" i="9" s="1"/>
  <c r="E20" i="9"/>
  <c r="D20" i="9"/>
  <c r="D23" i="9" s="1"/>
  <c r="C33" i="9"/>
  <c r="F25" i="13" l="1"/>
  <c r="C41" i="13"/>
  <c r="D24" i="13"/>
  <c r="D25" i="13" s="1"/>
  <c r="D27" i="13" s="1"/>
  <c r="E24" i="13"/>
  <c r="E25" i="13" s="1"/>
  <c r="E27" i="13" s="1"/>
  <c r="F27" i="13"/>
  <c r="F28" i="13" s="1"/>
  <c r="F29" i="13" s="1"/>
  <c r="F30" i="13" s="1"/>
  <c r="F36" i="13"/>
  <c r="F34" i="13" s="1"/>
  <c r="D37" i="13"/>
  <c r="D39" i="13" s="1"/>
  <c r="E30" i="12"/>
  <c r="E31" i="12" s="1"/>
  <c r="E32" i="12" s="1"/>
  <c r="E23" i="12"/>
  <c r="D30" i="12"/>
  <c r="D31" i="12" s="1"/>
  <c r="D32" i="12" s="1"/>
  <c r="D33" i="12" s="1"/>
  <c r="F31" i="12"/>
  <c r="F32" i="12" s="1"/>
  <c r="F33" i="12" s="1"/>
  <c r="E33" i="12"/>
  <c r="C39" i="12"/>
  <c r="C41" i="12" s="1"/>
  <c r="C43" i="12" s="1"/>
  <c r="C33" i="11"/>
  <c r="D20" i="11"/>
  <c r="D29" i="11"/>
  <c r="E27" i="10"/>
  <c r="E37" i="10" s="1"/>
  <c r="F27" i="10"/>
  <c r="F37" i="10" s="1"/>
  <c r="G27" i="10"/>
  <c r="G37" i="10" s="1"/>
  <c r="D27" i="10"/>
  <c r="D37" i="10" s="1"/>
  <c r="H36" i="10"/>
  <c r="H38" i="10" s="1"/>
  <c r="H40" i="10" s="1"/>
  <c r="E25" i="10"/>
  <c r="D25" i="10"/>
  <c r="F22" i="10"/>
  <c r="F28" i="10" s="1"/>
  <c r="F25" i="10"/>
  <c r="E22" i="10"/>
  <c r="G22" i="10"/>
  <c r="D22" i="10"/>
  <c r="D19" i="9"/>
  <c r="C35" i="9" s="1"/>
  <c r="C34" i="9" s="1"/>
  <c r="C36" i="9" s="1"/>
  <c r="C38" i="9" s="1"/>
  <c r="E19" i="9"/>
  <c r="D35" i="9" s="1"/>
  <c r="F19" i="9"/>
  <c r="E35" i="9" s="1"/>
  <c r="E34" i="9" s="1"/>
  <c r="E36" i="9" s="1"/>
  <c r="F22" i="9"/>
  <c r="E23" i="9"/>
  <c r="E22" i="9" s="1"/>
  <c r="E26" i="9" s="1"/>
  <c r="D22" i="9"/>
  <c r="D26" i="9" s="1"/>
  <c r="D28" i="9" s="1"/>
  <c r="E37" i="13" l="1"/>
  <c r="E39" i="13" s="1"/>
  <c r="F37" i="13"/>
  <c r="D28" i="13"/>
  <c r="D29" i="13" s="1"/>
  <c r="D30" i="13" s="1"/>
  <c r="D41" i="13" s="1"/>
  <c r="E28" i="13"/>
  <c r="E29" i="13" s="1"/>
  <c r="E30" i="13" s="1"/>
  <c r="E41" i="13" s="1"/>
  <c r="D39" i="12"/>
  <c r="D41" i="12" s="1"/>
  <c r="D43" i="12" s="1"/>
  <c r="E39" i="12"/>
  <c r="E41" i="12" s="1"/>
  <c r="E43" i="12" s="1"/>
  <c r="G39" i="12"/>
  <c r="G41" i="12" s="1"/>
  <c r="E20" i="11"/>
  <c r="E21" i="11" s="1"/>
  <c r="E22" i="11" s="1"/>
  <c r="E23" i="11" s="1"/>
  <c r="D21" i="11"/>
  <c r="D22" i="11" s="1"/>
  <c r="D23" i="11" s="1"/>
  <c r="D33" i="11" s="1"/>
  <c r="F29" i="11"/>
  <c r="E29" i="11"/>
  <c r="C38" i="10"/>
  <c r="C40" i="10" s="1"/>
  <c r="D28" i="10"/>
  <c r="G28" i="10"/>
  <c r="E28" i="10"/>
  <c r="G30" i="10"/>
  <c r="F30" i="10"/>
  <c r="F31" i="10" s="1"/>
  <c r="F32" i="10" s="1"/>
  <c r="E30" i="10"/>
  <c r="D30" i="10"/>
  <c r="D29" i="9"/>
  <c r="D30" i="9" s="1"/>
  <c r="D38" i="9" s="1"/>
  <c r="E28" i="9"/>
  <c r="F34" i="9"/>
  <c r="D34" i="9"/>
  <c r="D36" i="9" s="1"/>
  <c r="D36" i="10"/>
  <c r="D38" i="10" s="1"/>
  <c r="E36" i="10"/>
  <c r="E38" i="10" s="1"/>
  <c r="F26" i="9"/>
  <c r="F28" i="9" s="1"/>
  <c r="F39" i="13" l="1"/>
  <c r="F41" i="13" s="1"/>
  <c r="C43" i="13" s="1"/>
  <c r="G43" i="12"/>
  <c r="F39" i="12"/>
  <c r="F43" i="12" s="1"/>
  <c r="E33" i="11"/>
  <c r="F20" i="11"/>
  <c r="D31" i="10"/>
  <c r="D32" i="10" s="1"/>
  <c r="D33" i="10" s="1"/>
  <c r="E31" i="10"/>
  <c r="E32" i="10" s="1"/>
  <c r="E33" i="10" s="1"/>
  <c r="E40" i="10" s="1"/>
  <c r="G31" i="10"/>
  <c r="G32" i="10" s="1"/>
  <c r="G33" i="10" s="1"/>
  <c r="F29" i="9"/>
  <c r="F30" i="9" s="1"/>
  <c r="E29" i="9"/>
  <c r="E30" i="9" s="1"/>
  <c r="E38" i="9" s="1"/>
  <c r="F33" i="10"/>
  <c r="G29" i="11" l="1"/>
  <c r="F21" i="11"/>
  <c r="F22" i="11" s="1"/>
  <c r="F23" i="11" s="1"/>
  <c r="F33" i="11" s="1"/>
  <c r="G20" i="11"/>
  <c r="G36" i="10"/>
  <c r="G38" i="10" s="1"/>
  <c r="G40" i="10" s="1"/>
  <c r="F36" i="10"/>
  <c r="F38" i="10" s="1"/>
  <c r="F40" i="10" s="1"/>
  <c r="F38" i="9"/>
  <c r="G21" i="11" l="1"/>
  <c r="G22" i="11" s="1"/>
  <c r="G23" i="11" s="1"/>
  <c r="G33" i="11" s="1"/>
  <c r="D32" i="8" l="1"/>
  <c r="C32" i="8"/>
  <c r="C38" i="8" s="1"/>
  <c r="C40" i="8" s="1"/>
  <c r="C41" i="8" s="1"/>
  <c r="G36" i="8"/>
  <c r="F35" i="8"/>
  <c r="E35" i="8"/>
  <c r="D35" i="8"/>
  <c r="D33" i="8"/>
  <c r="E23" i="8"/>
  <c r="E25" i="8" s="1"/>
  <c r="E27" i="8" s="1"/>
  <c r="F19" i="8"/>
  <c r="E28" i="8" l="1"/>
  <c r="E29" i="8"/>
  <c r="E30" i="8" s="1"/>
  <c r="F18" i="8"/>
  <c r="F21" i="8"/>
  <c r="D38" i="8"/>
  <c r="D40" i="8" s="1"/>
  <c r="D41" i="8" s="1"/>
  <c r="G35" i="8"/>
  <c r="E33" i="8"/>
  <c r="E38" i="8" s="1"/>
  <c r="G19" i="8"/>
  <c r="G21" i="8" s="1"/>
  <c r="F23" i="8" l="1"/>
  <c r="F25" i="8" s="1"/>
  <c r="F27" i="8" s="1"/>
  <c r="E40" i="8"/>
  <c r="E41" i="8" s="1"/>
  <c r="G18" i="8"/>
  <c r="G23" i="8" s="1"/>
  <c r="G25" i="8" s="1"/>
  <c r="G27" i="8" s="1"/>
  <c r="G28" i="8" l="1"/>
  <c r="G29" i="8" s="1"/>
  <c r="G30" i="8" s="1"/>
  <c r="F28" i="8"/>
  <c r="F29" i="8" s="1"/>
  <c r="F30" i="8" s="1"/>
  <c r="F33" i="8"/>
  <c r="F38" i="8" s="1"/>
  <c r="G33" i="8"/>
  <c r="G38" i="8" s="1"/>
  <c r="F40" i="8" l="1"/>
  <c r="F41" i="8" s="1"/>
  <c r="G40" i="8" l="1"/>
  <c r="G41" i="8" l="1"/>
  <c r="C42" i="8" s="1"/>
</calcChain>
</file>

<file path=xl/sharedStrings.xml><?xml version="1.0" encoding="utf-8"?>
<sst xmlns="http://schemas.openxmlformats.org/spreadsheetml/2006/main" count="227" uniqueCount="97">
  <si>
    <t>Units sold</t>
  </si>
  <si>
    <t>Selling price</t>
  </si>
  <si>
    <t>Revenues</t>
  </si>
  <si>
    <t>Unit cost</t>
  </si>
  <si>
    <t>COGS</t>
  </si>
  <si>
    <t>Fixed Costs</t>
  </si>
  <si>
    <t>EBITDA</t>
  </si>
  <si>
    <t>Depreciation</t>
  </si>
  <si>
    <t>Gross profit</t>
  </si>
  <si>
    <t>EBIT</t>
  </si>
  <si>
    <t>Taxes</t>
  </si>
  <si>
    <t>Tax rate</t>
  </si>
  <si>
    <t>Discount rate</t>
  </si>
  <si>
    <t>Net Income</t>
  </si>
  <si>
    <t>Operating CFs</t>
  </si>
  <si>
    <t>CAPEX</t>
  </si>
  <si>
    <t>Working Capital</t>
  </si>
  <si>
    <t>Salvage value after taxes</t>
  </si>
  <si>
    <t>Salvage value</t>
  </si>
  <si>
    <t>Current sales</t>
  </si>
  <si>
    <t>Gross margin</t>
  </si>
  <si>
    <t>Sales</t>
  </si>
  <si>
    <t>Fixed costs</t>
  </si>
  <si>
    <t>EBITDA margin</t>
  </si>
  <si>
    <t>Taxes on capital gain</t>
  </si>
  <si>
    <t>Opportunity cost</t>
  </si>
  <si>
    <t>Ecoglass</t>
  </si>
  <si>
    <t>CASH FLOWS</t>
  </si>
  <si>
    <t>INPUTS</t>
  </si>
  <si>
    <t>Year (values in thousands)</t>
  </si>
  <si>
    <t>CAPEX (Machine #2)</t>
  </si>
  <si>
    <t>CAPEX (Machine #1)</t>
  </si>
  <si>
    <t>Useful life (10 years)</t>
  </si>
  <si>
    <t>Months in raw materials</t>
  </si>
  <si>
    <t>Investment in NWC</t>
  </si>
  <si>
    <t>Investment CFs</t>
  </si>
  <si>
    <t>FREE CASH FLOW</t>
  </si>
  <si>
    <t>DISCOUNTED FREE CASH FLOW</t>
  </si>
  <si>
    <t>Net Present Value</t>
  </si>
  <si>
    <t>Eanos</t>
  </si>
  <si>
    <t>Incremental sales (%)</t>
  </si>
  <si>
    <t>Sales without project</t>
  </si>
  <si>
    <t>Sales with project</t>
  </si>
  <si>
    <t>Gross Margin without project</t>
  </si>
  <si>
    <t>Gross Margin with project</t>
  </si>
  <si>
    <t>Incremental sales</t>
  </si>
  <si>
    <t>Incremental gross profit</t>
  </si>
  <si>
    <t>Gross Profit without project</t>
  </si>
  <si>
    <t>Gross Profit with project</t>
  </si>
  <si>
    <t>Life of Asset (years)</t>
  </si>
  <si>
    <t>Fixed Costs (with and without project)</t>
  </si>
  <si>
    <t>Incremental Fixed Costs</t>
  </si>
  <si>
    <t>Net Working Capital (% of next year sales)</t>
  </si>
  <si>
    <t>CarcavelluSurf</t>
  </si>
  <si>
    <t>Hours</t>
  </si>
  <si>
    <t>Hours in first year</t>
  </si>
  <si>
    <t>Annual growth</t>
  </si>
  <si>
    <t>Price per hour</t>
  </si>
  <si>
    <t>Annual price increase</t>
  </si>
  <si>
    <t>Initial investment</t>
  </si>
  <si>
    <t>Life of assets</t>
  </si>
  <si>
    <t>Life of assets (years)</t>
  </si>
  <si>
    <t>Instructor fee per hour</t>
  </si>
  <si>
    <t>Rent and license</t>
  </si>
  <si>
    <t>Wax cost per 100kg</t>
  </si>
  <si>
    <t>Number of months to pay wax</t>
  </si>
  <si>
    <t>Instructor fee costs</t>
  </si>
  <si>
    <t>Rent and License</t>
  </si>
  <si>
    <t>Wax cost</t>
  </si>
  <si>
    <t>Magnus SRL</t>
  </si>
  <si>
    <t>Net Working Capital (% of following year sales)</t>
  </si>
  <si>
    <t>Wonky</t>
  </si>
  <si>
    <t>Quantity on Year 1</t>
  </si>
  <si>
    <t>Quantity on Year 2</t>
  </si>
  <si>
    <t>Quantity on Year 3</t>
  </si>
  <si>
    <t>Gross Margin on year 1</t>
  </si>
  <si>
    <t>Gross Margin on year 2</t>
  </si>
  <si>
    <t>Gross Margin on year 3</t>
  </si>
  <si>
    <t>Average collection period (months)</t>
  </si>
  <si>
    <t>Maria</t>
  </si>
  <si>
    <t>Quantity</t>
  </si>
  <si>
    <t>Initial inventory</t>
  </si>
  <si>
    <t>NWC of following periods (% of raw materials)</t>
  </si>
  <si>
    <t>Rent opportunity cost</t>
  </si>
  <si>
    <t>Other</t>
  </si>
  <si>
    <t>15) Salvage Value</t>
  </si>
  <si>
    <t>16) Multiple choice</t>
  </si>
  <si>
    <t>a.	The higher bargaining power with suppliers given the expansion in sales and in stores and that will translate into lower costs of goods sold</t>
  </si>
  <si>
    <t>Initial cost of asset</t>
  </si>
  <si>
    <t>Original economic life (years)</t>
  </si>
  <si>
    <t>Years gone</t>
  </si>
  <si>
    <t>Current Book Value</t>
  </si>
  <si>
    <t>Annual depreciation</t>
  </si>
  <si>
    <t>Capital Gain</t>
  </si>
  <si>
    <t>Advanced Financial Management</t>
  </si>
  <si>
    <t>Exercise Set - Valuation</t>
  </si>
  <si>
    <t>Sale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</si>
</sst>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\ &quot;€&quot;;[Red]\-#,##0.00\ &quot;€&quot;"/>
    <numFmt numFmtId="165" formatCode="_-* #,##0.00\ [$€]_-;\-* #,##0.00\ [$€]_-;_-* &quot;-&quot;??\ [$€]_-;_-@_-"/>
    <numFmt numFmtId="166" formatCode="#,###.0,"/>
    <numFmt numFmtId="167" formatCode="#,###.00,"/>
    <numFmt numFmtId="168" formatCode="#,###.000,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6"/>
      <name val="Open Sans"/>
      <family val="2"/>
    </font>
    <font>
      <sz val="10"/>
      <name val="Open Sans"/>
      <family val="2"/>
    </font>
    <font>
      <sz val="12"/>
      <name val="Open Sans"/>
      <family val="2"/>
    </font>
    <font>
      <b/>
      <sz val="12"/>
      <color rgb="FF002060"/>
      <name val="Open Sans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FA7D00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theme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0">
    <xf numFmtId="0" fontId="0" fillId="0" borderId="0"/>
    <xf numFmtId="0" fontId="2" fillId="3" borderId="3" applyNumberFormat="0" applyFont="0" applyAlignment="0" applyProtection="0"/>
    <xf numFmtId="0" fontId="3" fillId="4" borderId="4" applyNumberFormat="0" applyAlignment="0" applyProtection="0"/>
    <xf numFmtId="0" fontId="4" fillId="4" borderId="3" applyNumberFormat="0" applyAlignment="0" applyProtection="0"/>
    <xf numFmtId="165" fontId="1" fillId="0" borderId="0"/>
    <xf numFmtId="0" fontId="2" fillId="3" borderId="3" applyNumberFormat="0" applyFont="0" applyAlignment="0" applyProtection="0"/>
    <xf numFmtId="0" fontId="3" fillId="4" borderId="4" applyNumberFormat="0" applyFont="0" applyAlignment="0" applyProtection="0"/>
    <xf numFmtId="0" fontId="1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52">
    <xf numFmtId="0" fontId="0" fillId="0" borderId="0" xfId="0"/>
    <xf numFmtId="165" fontId="5" fillId="0" borderId="0" xfId="4" applyFont="1" applyAlignment="1">
      <alignment horizontal="left" vertical="center" indent="11"/>
    </xf>
    <xf numFmtId="165" fontId="6" fillId="0" borderId="0" xfId="4" applyFont="1"/>
    <xf numFmtId="165" fontId="7" fillId="0" borderId="0" xfId="4" applyFont="1" applyAlignment="1">
      <alignment horizontal="left" vertical="center" indent="11"/>
    </xf>
    <xf numFmtId="165" fontId="7" fillId="0" borderId="0" xfId="4" applyFont="1"/>
    <xf numFmtId="165" fontId="8" fillId="5" borderId="5" xfId="4" applyFont="1" applyFill="1" applyBorder="1" applyAlignment="1">
      <alignment horizontal="left" vertical="center" indent="11"/>
    </xf>
    <xf numFmtId="165" fontId="8" fillId="5" borderId="5" xfId="4" applyFont="1" applyFill="1" applyBorder="1"/>
    <xf numFmtId="0" fontId="0" fillId="0" borderId="0" xfId="7" applyFont="1"/>
    <xf numFmtId="0" fontId="9" fillId="0" borderId="1" xfId="0" applyFont="1" applyBorder="1" applyAlignment="1">
      <alignment horizontal="right"/>
    </xf>
    <xf numFmtId="0" fontId="9" fillId="0" borderId="1" xfId="0" applyFont="1" applyBorder="1"/>
    <xf numFmtId="166" fontId="11" fillId="5" borderId="2" xfId="0" applyNumberFormat="1" applyFont="1" applyFill="1" applyBorder="1" applyAlignment="1">
      <alignment horizontal="right" vertical="top" wrapText="1"/>
    </xf>
    <xf numFmtId="166" fontId="12" fillId="6" borderId="6" xfId="0" applyNumberFormat="1" applyFont="1" applyFill="1" applyBorder="1" applyAlignment="1">
      <alignment horizontal="right" vertical="top" wrapText="1"/>
    </xf>
    <xf numFmtId="164" fontId="12" fillId="6" borderId="6" xfId="0" applyNumberFormat="1" applyFont="1" applyFill="1" applyBorder="1" applyAlignment="1">
      <alignment horizontal="right" vertical="top" wrapText="1"/>
    </xf>
    <xf numFmtId="166" fontId="14" fillId="5" borderId="2" xfId="0" applyNumberFormat="1" applyFont="1" applyFill="1" applyBorder="1" applyAlignment="1">
      <alignment horizontal="right" vertical="top" wrapText="1"/>
    </xf>
    <xf numFmtId="166" fontId="14" fillId="5" borderId="6" xfId="0" applyNumberFormat="1" applyFont="1" applyFill="1" applyBorder="1" applyAlignment="1">
      <alignment horizontal="left" vertical="top" wrapText="1" indent="1"/>
    </xf>
    <xf numFmtId="166" fontId="14" fillId="5" borderId="6" xfId="0" applyNumberFormat="1" applyFont="1" applyFill="1" applyBorder="1" applyAlignment="1">
      <alignment horizontal="right" vertical="top" wrapText="1"/>
    </xf>
    <xf numFmtId="0" fontId="10" fillId="7" borderId="2" xfId="0" applyFont="1" applyFill="1" applyBorder="1" applyAlignment="1">
      <alignment horizontal="left"/>
    </xf>
    <xf numFmtId="166" fontId="14" fillId="7" borderId="2" xfId="0" applyNumberFormat="1" applyFont="1" applyFill="1" applyBorder="1" applyAlignment="1">
      <alignment horizontal="right" vertical="top" wrapText="1"/>
    </xf>
    <xf numFmtId="166" fontId="14" fillId="5" borderId="0" xfId="0" applyNumberFormat="1" applyFont="1" applyFill="1" applyAlignment="1">
      <alignment horizontal="right" vertical="top" wrapText="1"/>
    </xf>
    <xf numFmtId="0" fontId="13" fillId="0" borderId="2" xfId="0" applyFont="1" applyBorder="1" applyAlignment="1">
      <alignment horizontal="left" indent="1"/>
    </xf>
    <xf numFmtId="0" fontId="10" fillId="0" borderId="2" xfId="0" applyFont="1" applyBorder="1" applyAlignment="1">
      <alignment horizontal="left" indent="1"/>
    </xf>
    <xf numFmtId="166" fontId="12" fillId="6" borderId="6" xfId="0" applyNumberFormat="1" applyFont="1" applyFill="1" applyBorder="1" applyAlignment="1">
      <alignment horizontal="left" vertical="top" wrapText="1" indent="3"/>
    </xf>
    <xf numFmtId="0" fontId="13" fillId="0" borderId="2" xfId="0" applyFont="1" applyBorder="1" applyAlignment="1">
      <alignment horizontal="left" indent="2"/>
    </xf>
    <xf numFmtId="0" fontId="15" fillId="8" borderId="0" xfId="0" applyFont="1" applyFill="1"/>
    <xf numFmtId="0" fontId="16" fillId="8" borderId="0" xfId="0" applyFont="1" applyFill="1"/>
    <xf numFmtId="0" fontId="17" fillId="0" borderId="0" xfId="0" applyFont="1"/>
    <xf numFmtId="0" fontId="18" fillId="9" borderId="0" xfId="0" applyFont="1" applyFill="1"/>
    <xf numFmtId="0" fontId="19" fillId="9" borderId="0" xfId="0" applyFont="1" applyFill="1"/>
    <xf numFmtId="3" fontId="14" fillId="3" borderId="3" xfId="1" applyNumberFormat="1" applyFont="1" applyAlignment="1">
      <alignment horizontal="right" vertical="top" wrapText="1"/>
    </xf>
    <xf numFmtId="9" fontId="14" fillId="3" borderId="3" xfId="1" applyNumberFormat="1" applyFont="1" applyAlignment="1">
      <alignment horizontal="right" vertical="top" wrapText="1"/>
    </xf>
    <xf numFmtId="0" fontId="13" fillId="0" borderId="0" xfId="0" applyFont="1" applyAlignment="1">
      <alignment horizontal="left" indent="4"/>
    </xf>
    <xf numFmtId="166" fontId="14" fillId="5" borderId="0" xfId="0" applyNumberFormat="1" applyFont="1" applyFill="1" applyAlignment="1">
      <alignment horizontal="left" vertical="top" wrapText="1" indent="1"/>
    </xf>
    <xf numFmtId="0" fontId="13" fillId="0" borderId="0" xfId="0" applyFont="1"/>
    <xf numFmtId="166" fontId="11" fillId="7" borderId="2" xfId="0" applyNumberFormat="1" applyFont="1" applyFill="1" applyBorder="1" applyAlignment="1">
      <alignment horizontal="right" vertical="top" wrapText="1"/>
    </xf>
    <xf numFmtId="0" fontId="17" fillId="0" borderId="0" xfId="0" applyFont="1" applyAlignment="1">
      <alignment horizontal="left" indent="1"/>
    </xf>
    <xf numFmtId="0" fontId="21" fillId="10" borderId="2" xfId="0" applyFont="1" applyFill="1" applyBorder="1" applyAlignment="1">
      <alignment horizontal="left"/>
    </xf>
    <xf numFmtId="166" fontId="21" fillId="10" borderId="2" xfId="0" applyNumberFormat="1" applyFont="1" applyFill="1" applyBorder="1" applyAlignment="1">
      <alignment horizontal="right" vertical="top" wrapText="1"/>
    </xf>
    <xf numFmtId="166" fontId="14" fillId="5" borderId="6" xfId="0" applyNumberFormat="1" applyFont="1" applyFill="1" applyBorder="1" applyAlignment="1">
      <alignment horizontal="left" vertical="top" wrapText="1" indent="2"/>
    </xf>
    <xf numFmtId="166" fontId="14" fillId="4" borderId="4" xfId="2" applyNumberFormat="1" applyFont="1" applyAlignment="1">
      <alignment horizontal="right" vertical="top" wrapText="1"/>
    </xf>
    <xf numFmtId="3" fontId="12" fillId="6" borderId="6" xfId="0" applyNumberFormat="1" applyFont="1" applyFill="1" applyBorder="1" applyAlignment="1">
      <alignment horizontal="right" vertical="top" wrapText="1"/>
    </xf>
    <xf numFmtId="0" fontId="14" fillId="3" borderId="3" xfId="1" applyNumberFormat="1" applyFont="1" applyAlignment="1">
      <alignment horizontal="right" vertical="top" wrapText="1"/>
    </xf>
    <xf numFmtId="168" fontId="14" fillId="5" borderId="2" xfId="0" applyNumberFormat="1" applyFont="1" applyFill="1" applyBorder="1" applyAlignment="1">
      <alignment horizontal="right" vertical="top" wrapText="1"/>
    </xf>
    <xf numFmtId="168" fontId="12" fillId="6" borderId="6" xfId="0" applyNumberFormat="1" applyFont="1" applyFill="1" applyBorder="1" applyAlignment="1">
      <alignment horizontal="right" vertical="top" wrapText="1"/>
    </xf>
    <xf numFmtId="167" fontId="11" fillId="7" borderId="2" xfId="0" applyNumberFormat="1" applyFont="1" applyFill="1" applyBorder="1" applyAlignment="1">
      <alignment horizontal="right" vertical="top" wrapText="1"/>
    </xf>
    <xf numFmtId="167" fontId="21" fillId="10" borderId="2" xfId="0" applyNumberFormat="1" applyFont="1" applyFill="1" applyBorder="1" applyAlignment="1">
      <alignment horizontal="right" vertical="top" wrapText="1"/>
    </xf>
    <xf numFmtId="166" fontId="17" fillId="0" borderId="0" xfId="0" applyNumberFormat="1" applyFont="1"/>
    <xf numFmtId="9" fontId="12" fillId="6" borderId="6" xfId="0" applyNumberFormat="1" applyFont="1" applyFill="1" applyBorder="1" applyAlignment="1">
      <alignment horizontal="right" vertical="top" wrapText="1"/>
    </xf>
    <xf numFmtId="0" fontId="18" fillId="2" borderId="0" xfId="0" applyFont="1" applyFill="1"/>
    <xf numFmtId="0" fontId="19" fillId="2" borderId="0" xfId="0" applyFont="1" applyFill="1"/>
    <xf numFmtId="3" fontId="22" fillId="4" borderId="3" xfId="3" applyNumberFormat="1" applyFont="1" applyAlignment="1">
      <alignment horizontal="right" vertical="top" wrapText="1"/>
    </xf>
    <xf numFmtId="3" fontId="23" fillId="4" borderId="4" xfId="2" applyNumberFormat="1" applyFont="1" applyAlignment="1">
      <alignment horizontal="right" vertical="top" wrapText="1"/>
    </xf>
    <xf numFmtId="0" fontId="20" fillId="0" borderId="0" xfId="0" applyFont="1"/>
  </cellXfs>
  <cellStyles count="10">
    <cellStyle name="Calculation" xfId="3" builtinId="22" customBuiltin="1"/>
    <cellStyle name="Comma 2 2 5" xfId="8" xr:uid="{E16EA04D-2628-4610-B100-1B150EA98257}"/>
    <cellStyle name="Input" xfId="1" builtinId="20" customBuiltin="1"/>
    <cellStyle name="Input 2" xfId="5" xr:uid="{C7535F86-D584-4222-BD07-5CF620A3A490}"/>
    <cellStyle name="Normal" xfId="0" builtinId="0"/>
    <cellStyle name="Normal 2" xfId="4" xr:uid="{C7B839A7-F928-425C-AFC4-9173F4723CA1}"/>
    <cellStyle name="Normal 37" xfId="7" xr:uid="{8FAF3323-F42E-4567-A654-C44F72EFBC04}"/>
    <cellStyle name="Output" xfId="2" builtinId="21"/>
    <cellStyle name="Output 2" xfId="6" xr:uid="{ECFA8B70-ADC9-4D53-893D-22ACD4C5527F}"/>
    <cellStyle name="Percent 10" xfId="9" xr:uid="{BE11D58E-1DF4-46DA-AE93-E05339A514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</xdr:col>
      <xdr:colOff>771525</xdr:colOff>
      <xdr:row>1</xdr:row>
      <xdr:rowOff>173355</xdr:rowOff>
    </xdr:to>
    <xdr:pic>
      <xdr:nvPicPr>
        <xdr:cNvPr id="2" name="Picture 1" descr="Resultado de imagem para nova sbe">
          <a:extLst>
            <a:ext uri="{FF2B5EF4-FFF2-40B4-BE49-F238E27FC236}">
              <a16:creationId xmlns:a16="http://schemas.microsoft.com/office/drawing/2014/main" id="{DDE243CE-AD60-4BDA-9734-EF82F612D1E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838200" cy="4400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</xdr:col>
      <xdr:colOff>771525</xdr:colOff>
      <xdr:row>1</xdr:row>
      <xdr:rowOff>173355</xdr:rowOff>
    </xdr:to>
    <xdr:pic>
      <xdr:nvPicPr>
        <xdr:cNvPr id="2" name="Picture 1" descr="Resultado de imagem para nova sbe">
          <a:extLst>
            <a:ext uri="{FF2B5EF4-FFF2-40B4-BE49-F238E27FC236}">
              <a16:creationId xmlns:a16="http://schemas.microsoft.com/office/drawing/2014/main" id="{37392D7B-8124-4BA7-9C21-9AAC753B3C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838200" cy="4400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</xdr:col>
      <xdr:colOff>771525</xdr:colOff>
      <xdr:row>1</xdr:row>
      <xdr:rowOff>173355</xdr:rowOff>
    </xdr:to>
    <xdr:pic>
      <xdr:nvPicPr>
        <xdr:cNvPr id="2" name="Picture 1" descr="Resultado de imagem para nova sbe">
          <a:extLst>
            <a:ext uri="{FF2B5EF4-FFF2-40B4-BE49-F238E27FC236}">
              <a16:creationId xmlns:a16="http://schemas.microsoft.com/office/drawing/2014/main" id="{53495DD8-2DD8-44B7-A9F0-5710D7B62F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838200" cy="4400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</xdr:col>
      <xdr:colOff>771525</xdr:colOff>
      <xdr:row>1</xdr:row>
      <xdr:rowOff>173355</xdr:rowOff>
    </xdr:to>
    <xdr:pic>
      <xdr:nvPicPr>
        <xdr:cNvPr id="2" name="Picture 1" descr="Resultado de imagem para nova sbe">
          <a:extLst>
            <a:ext uri="{FF2B5EF4-FFF2-40B4-BE49-F238E27FC236}">
              <a16:creationId xmlns:a16="http://schemas.microsoft.com/office/drawing/2014/main" id="{53C8C203-D5C9-487B-83E0-FC29726C46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838200" cy="4400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</xdr:col>
      <xdr:colOff>771525</xdr:colOff>
      <xdr:row>1</xdr:row>
      <xdr:rowOff>173355</xdr:rowOff>
    </xdr:to>
    <xdr:pic>
      <xdr:nvPicPr>
        <xdr:cNvPr id="2" name="Picture 1" descr="Resultado de imagem para nova sbe">
          <a:extLst>
            <a:ext uri="{FF2B5EF4-FFF2-40B4-BE49-F238E27FC236}">
              <a16:creationId xmlns:a16="http://schemas.microsoft.com/office/drawing/2014/main" id="{8A5825F3-E712-4F45-8CA5-DA03A32FB2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838200" cy="4400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</xdr:col>
      <xdr:colOff>771525</xdr:colOff>
      <xdr:row>1</xdr:row>
      <xdr:rowOff>173355</xdr:rowOff>
    </xdr:to>
    <xdr:pic>
      <xdr:nvPicPr>
        <xdr:cNvPr id="2" name="Picture 1" descr="Resultado de imagem para nova sbe">
          <a:extLst>
            <a:ext uri="{FF2B5EF4-FFF2-40B4-BE49-F238E27FC236}">
              <a16:creationId xmlns:a16="http://schemas.microsoft.com/office/drawing/2014/main" id="{661B3C5A-1A43-4D6F-84DA-3CB984EDE6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838200" cy="4400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</xdr:col>
      <xdr:colOff>771525</xdr:colOff>
      <xdr:row>1</xdr:row>
      <xdr:rowOff>173355</xdr:rowOff>
    </xdr:to>
    <xdr:pic>
      <xdr:nvPicPr>
        <xdr:cNvPr id="2" name="Picture 1" descr="Resultado de imagem para nova sbe">
          <a:extLst>
            <a:ext uri="{FF2B5EF4-FFF2-40B4-BE49-F238E27FC236}">
              <a16:creationId xmlns:a16="http://schemas.microsoft.com/office/drawing/2014/main" id="{0A6A9AA0-2496-4F3E-92DF-3E2E07CABF2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838200" cy="4400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IS/BCPI/Direccao%20Corretagem/RESEARCH%20ACCOES/MASTER/bf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SI20 Graph"/>
    </sheetNames>
    <sheetDataSet>
      <sheetData sheetId="0">
        <row r="3">
          <cell r="B3">
            <v>37894</v>
          </cell>
        </row>
        <row r="17">
          <cell r="B17">
            <v>37011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6078-B789-481B-B53F-F0AE5343019C}">
  <sheetPr>
    <tabColor theme="1" tint="0.14999847407452621"/>
    <pageSetUpPr fitToPage="1"/>
  </sheetPr>
  <dimension ref="A1:R42"/>
  <sheetViews>
    <sheetView showGridLines="0" zoomScale="130" zoomScaleNormal="130" workbookViewId="0">
      <selection activeCell="H20" sqref="H20"/>
    </sheetView>
  </sheetViews>
  <sheetFormatPr defaultColWidth="9.140625" defaultRowHeight="15" x14ac:dyDescent="0.25"/>
  <cols>
    <col min="1" max="1" width="1.42578125" customWidth="1"/>
    <col min="2" max="2" width="27.42578125" bestFit="1" customWidth="1"/>
    <col min="3" max="3" width="6.5703125" bestFit="1" customWidth="1"/>
    <col min="4" max="4" width="4.5703125" bestFit="1" customWidth="1"/>
    <col min="5" max="7" width="5.85546875" bestFit="1" customWidth="1"/>
  </cols>
  <sheetData>
    <row r="1" spans="1:18" s="2" customFormat="1" ht="22.5" x14ac:dyDescent="0.3">
      <c r="A1" s="1" t="s">
        <v>94</v>
      </c>
    </row>
    <row r="2" spans="1:18" s="4" customFormat="1" ht="18.75" thickBot="1" x14ac:dyDescent="0.4">
      <c r="A2" s="3" t="s">
        <v>95</v>
      </c>
    </row>
    <row r="3" spans="1:18" s="6" customFormat="1" ht="18" x14ac:dyDescent="0.35">
      <c r="A3" s="5" t="s">
        <v>26</v>
      </c>
    </row>
    <row r="4" spans="1:18" s="26" customFormat="1" ht="15.75" x14ac:dyDescent="0.25">
      <c r="B4" s="27" t="s">
        <v>28</v>
      </c>
    </row>
    <row r="5" spans="1:18" s="25" customFormat="1" ht="7.5" customHeight="1" x14ac:dyDescent="0.2"/>
    <row r="6" spans="1:18" s="32" customFormat="1" ht="12" x14ac:dyDescent="0.2">
      <c r="A6" s="30"/>
      <c r="B6" s="14" t="s">
        <v>31</v>
      </c>
      <c r="C6" s="28">
        <v>150000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s="32" customFormat="1" ht="12" x14ac:dyDescent="0.2">
      <c r="A7" s="30"/>
      <c r="B7" s="14" t="s">
        <v>30</v>
      </c>
      <c r="C7" s="28">
        <v>50000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s="32" customFormat="1" ht="12" x14ac:dyDescent="0.2">
      <c r="A8" s="30"/>
      <c r="B8" s="14" t="s">
        <v>32</v>
      </c>
      <c r="C8" s="28">
        <v>10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s="32" customFormat="1" ht="12" x14ac:dyDescent="0.2">
      <c r="A9" s="30"/>
      <c r="B9" s="14" t="s">
        <v>96</v>
      </c>
      <c r="C9" s="28">
        <v>60000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s="32" customFormat="1" ht="12" x14ac:dyDescent="0.2">
      <c r="A10" s="30"/>
      <c r="B10" s="14" t="s">
        <v>22</v>
      </c>
      <c r="C10" s="28">
        <v>25000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s="32" customFormat="1" ht="12" x14ac:dyDescent="0.2">
      <c r="A11" s="30"/>
      <c r="B11" s="31" t="s">
        <v>33</v>
      </c>
      <c r="C11" s="28">
        <v>3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s="32" customFormat="1" ht="12" x14ac:dyDescent="0.2">
      <c r="A12" s="30"/>
      <c r="B12" s="14" t="s">
        <v>11</v>
      </c>
      <c r="C12" s="29">
        <v>0.3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s="32" customFormat="1" ht="12" x14ac:dyDescent="0.2">
      <c r="A13" s="30"/>
      <c r="B13" s="14" t="s">
        <v>12</v>
      </c>
      <c r="C13" s="29">
        <v>0.1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s="25" customFormat="1" ht="7.5" customHeight="1" x14ac:dyDescent="0.2"/>
    <row r="15" spans="1:18" s="23" customFormat="1" ht="15.75" x14ac:dyDescent="0.25">
      <c r="B15" s="24" t="s">
        <v>27</v>
      </c>
    </row>
    <row r="16" spans="1:18" s="25" customFormat="1" ht="7.5" customHeight="1" x14ac:dyDescent="0.2"/>
    <row r="17" spans="2:7" s="7" customFormat="1" x14ac:dyDescent="0.25">
      <c r="B17" s="8" t="s">
        <v>29</v>
      </c>
      <c r="C17" s="8">
        <v>0</v>
      </c>
      <c r="D17" s="9">
        <v>1</v>
      </c>
      <c r="E17" s="9">
        <v>2</v>
      </c>
      <c r="F17" s="9">
        <v>3</v>
      </c>
      <c r="G17" s="9">
        <v>4</v>
      </c>
    </row>
    <row r="18" spans="2:7" s="7" customFormat="1" x14ac:dyDescent="0.25">
      <c r="B18" s="20" t="s">
        <v>2</v>
      </c>
      <c r="C18" s="13"/>
      <c r="D18" s="13"/>
      <c r="E18" s="13">
        <f>+E19*E20</f>
        <v>75000</v>
      </c>
      <c r="F18" s="13">
        <f>+F19*F20</f>
        <v>150000</v>
      </c>
      <c r="G18" s="13">
        <f>+G19*G20</f>
        <v>300000</v>
      </c>
    </row>
    <row r="19" spans="2:7" s="7" customFormat="1" x14ac:dyDescent="0.25">
      <c r="B19" s="21" t="s">
        <v>0</v>
      </c>
      <c r="C19" s="11"/>
      <c r="D19" s="11"/>
      <c r="E19" s="11">
        <v>100000</v>
      </c>
      <c r="F19" s="11">
        <f>+E19*2</f>
        <v>200000</v>
      </c>
      <c r="G19" s="11">
        <f>+F19*2</f>
        <v>400000</v>
      </c>
    </row>
    <row r="20" spans="2:7" s="7" customFormat="1" x14ac:dyDescent="0.25">
      <c r="B20" s="21" t="s">
        <v>1</v>
      </c>
      <c r="C20" s="11"/>
      <c r="D20" s="12"/>
      <c r="E20" s="12">
        <v>0.75</v>
      </c>
      <c r="F20" s="12">
        <v>0.75</v>
      </c>
      <c r="G20" s="12">
        <v>0.75</v>
      </c>
    </row>
    <row r="21" spans="2:7" s="7" customFormat="1" x14ac:dyDescent="0.25">
      <c r="B21" s="19" t="s">
        <v>4</v>
      </c>
      <c r="C21" s="13"/>
      <c r="D21" s="13"/>
      <c r="E21" s="13">
        <f>-E22*E19</f>
        <v>-30000</v>
      </c>
      <c r="F21" s="13">
        <f t="shared" ref="F21:G21" si="0">-F22*F19</f>
        <v>-60000</v>
      </c>
      <c r="G21" s="13">
        <f t="shared" si="0"/>
        <v>-120000</v>
      </c>
    </row>
    <row r="22" spans="2:7" s="7" customFormat="1" x14ac:dyDescent="0.25">
      <c r="B22" s="21" t="s">
        <v>3</v>
      </c>
      <c r="C22" s="11"/>
      <c r="D22" s="11"/>
      <c r="E22" s="12">
        <v>0.3</v>
      </c>
      <c r="F22" s="12">
        <v>0.3</v>
      </c>
      <c r="G22" s="12">
        <v>0.3</v>
      </c>
    </row>
    <row r="23" spans="2:7" s="7" customFormat="1" x14ac:dyDescent="0.25">
      <c r="B23" s="20" t="s">
        <v>8</v>
      </c>
      <c r="C23" s="13"/>
      <c r="D23" s="13"/>
      <c r="E23" s="13">
        <f>+E18+E21</f>
        <v>45000</v>
      </c>
      <c r="F23" s="13">
        <f t="shared" ref="F23:G23" si="1">+F18+F21</f>
        <v>90000</v>
      </c>
      <c r="G23" s="13">
        <f t="shared" si="1"/>
        <v>180000</v>
      </c>
    </row>
    <row r="24" spans="2:7" x14ac:dyDescent="0.25">
      <c r="B24" s="22" t="s">
        <v>5</v>
      </c>
      <c r="C24" s="13"/>
      <c r="D24" s="13"/>
      <c r="E24" s="13">
        <f>-$C$10</f>
        <v>-25000</v>
      </c>
      <c r="F24" s="13">
        <f t="shared" ref="F24:G24" si="2">-$C$10</f>
        <v>-25000</v>
      </c>
      <c r="G24" s="13">
        <f t="shared" si="2"/>
        <v>-25000</v>
      </c>
    </row>
    <row r="25" spans="2:7" x14ac:dyDescent="0.25">
      <c r="B25" s="20" t="s">
        <v>6</v>
      </c>
      <c r="C25" s="13"/>
      <c r="D25" s="13"/>
      <c r="E25" s="13">
        <f>E23+E24</f>
        <v>20000</v>
      </c>
      <c r="F25" s="13">
        <f t="shared" ref="F25:G25" si="3">F23+F24</f>
        <v>65000</v>
      </c>
      <c r="G25" s="13">
        <f t="shared" si="3"/>
        <v>155000</v>
      </c>
    </row>
    <row r="26" spans="2:7" x14ac:dyDescent="0.25">
      <c r="B26" s="22" t="s">
        <v>7</v>
      </c>
      <c r="C26" s="13"/>
      <c r="D26" s="13"/>
      <c r="E26" s="13">
        <f>-SUM($C$6:$C$7)/10</f>
        <v>-20000</v>
      </c>
      <c r="F26" s="13">
        <f t="shared" ref="F26:G26" si="4">-SUM($C$6:$C$7)/10</f>
        <v>-20000</v>
      </c>
      <c r="G26" s="13">
        <f t="shared" si="4"/>
        <v>-20000</v>
      </c>
    </row>
    <row r="27" spans="2:7" x14ac:dyDescent="0.25">
      <c r="B27" s="20" t="s">
        <v>9</v>
      </c>
      <c r="C27" s="13"/>
      <c r="D27" s="13"/>
      <c r="E27" s="13">
        <f>+E25+E26</f>
        <v>0</v>
      </c>
      <c r="F27" s="13">
        <f t="shared" ref="F27:G27" si="5">+F25+F26</f>
        <v>45000</v>
      </c>
      <c r="G27" s="13">
        <f t="shared" si="5"/>
        <v>135000</v>
      </c>
    </row>
    <row r="28" spans="2:7" x14ac:dyDescent="0.25">
      <c r="B28" s="22" t="s">
        <v>10</v>
      </c>
      <c r="C28" s="13"/>
      <c r="D28" s="13"/>
      <c r="E28" s="13">
        <f>-E27*$C$12</f>
        <v>0</v>
      </c>
      <c r="F28" s="13">
        <f t="shared" ref="F28:G28" si="6">-F27*$C$12</f>
        <v>-13500</v>
      </c>
      <c r="G28" s="13">
        <f t="shared" si="6"/>
        <v>-40500</v>
      </c>
    </row>
    <row r="29" spans="2:7" x14ac:dyDescent="0.25">
      <c r="B29" s="20" t="s">
        <v>13</v>
      </c>
      <c r="C29" s="13"/>
      <c r="D29" s="13"/>
      <c r="E29" s="13">
        <f>+E27+E28</f>
        <v>0</v>
      </c>
      <c r="F29" s="13">
        <f t="shared" ref="F29:G29" si="7">+F27+F28</f>
        <v>31500</v>
      </c>
      <c r="G29" s="13">
        <f t="shared" si="7"/>
        <v>94500</v>
      </c>
    </row>
    <row r="30" spans="2:7" x14ac:dyDescent="0.25">
      <c r="B30" s="16" t="s">
        <v>14</v>
      </c>
      <c r="C30" s="17"/>
      <c r="D30" s="17"/>
      <c r="E30" s="17">
        <f>+E29-E26</f>
        <v>20000</v>
      </c>
      <c r="F30" s="17">
        <f t="shared" ref="F30:G30" si="8">+F29-F26</f>
        <v>51500</v>
      </c>
      <c r="G30" s="17">
        <f t="shared" si="8"/>
        <v>114500</v>
      </c>
    </row>
    <row r="31" spans="2:7" s="25" customFormat="1" ht="7.5" customHeight="1" x14ac:dyDescent="0.2">
      <c r="B31" s="34"/>
    </row>
    <row r="32" spans="2:7" x14ac:dyDescent="0.25">
      <c r="B32" s="19" t="s">
        <v>15</v>
      </c>
      <c r="C32" s="13">
        <f>-C6</f>
        <v>-150000</v>
      </c>
      <c r="D32" s="13">
        <f>-C7</f>
        <v>-50000</v>
      </c>
      <c r="E32" s="13"/>
      <c r="F32" s="13"/>
      <c r="G32" s="13"/>
    </row>
    <row r="33" spans="2:7" x14ac:dyDescent="0.25">
      <c r="B33" s="19" t="s">
        <v>34</v>
      </c>
      <c r="C33" s="13"/>
      <c r="D33" s="13">
        <f>-(D34-C34)</f>
        <v>-7500</v>
      </c>
      <c r="E33" s="13">
        <f t="shared" ref="E33:G33" si="9">-(E34-D34)</f>
        <v>-7500</v>
      </c>
      <c r="F33" s="13">
        <f t="shared" si="9"/>
        <v>-15000</v>
      </c>
      <c r="G33" s="13">
        <f t="shared" si="9"/>
        <v>30000</v>
      </c>
    </row>
    <row r="34" spans="2:7" s="7" customFormat="1" x14ac:dyDescent="0.25">
      <c r="B34" s="21" t="s">
        <v>16</v>
      </c>
      <c r="C34" s="11"/>
      <c r="D34" s="11">
        <f>-E21*$C$11/12</f>
        <v>7500</v>
      </c>
      <c r="E34" s="11">
        <f t="shared" ref="E34:G34" si="10">-F21*$C$11/12</f>
        <v>15000</v>
      </c>
      <c r="F34" s="11">
        <f t="shared" si="10"/>
        <v>30000</v>
      </c>
      <c r="G34" s="11">
        <f t="shared" si="10"/>
        <v>0</v>
      </c>
    </row>
    <row r="35" spans="2:7" x14ac:dyDescent="0.25">
      <c r="B35" s="19" t="s">
        <v>18</v>
      </c>
      <c r="C35" s="13"/>
      <c r="D35" s="13">
        <f>D36+D37</f>
        <v>0</v>
      </c>
      <c r="E35" s="13">
        <f t="shared" ref="E35:G35" si="11">E36+E37</f>
        <v>0</v>
      </c>
      <c r="F35" s="13">
        <f t="shared" si="11"/>
        <v>0</v>
      </c>
      <c r="G35" s="13">
        <f t="shared" si="11"/>
        <v>84000</v>
      </c>
    </row>
    <row r="36" spans="2:7" s="7" customFormat="1" x14ac:dyDescent="0.25">
      <c r="B36" s="21" t="s">
        <v>96</v>
      </c>
      <c r="C36" s="11"/>
      <c r="D36" s="11"/>
      <c r="E36" s="11"/>
      <c r="F36" s="11"/>
      <c r="G36" s="11">
        <f>C9</f>
        <v>60000</v>
      </c>
    </row>
    <row r="37" spans="2:7" s="7" customFormat="1" x14ac:dyDescent="0.25">
      <c r="B37" s="21" t="s">
        <v>24</v>
      </c>
      <c r="C37" s="11"/>
      <c r="D37" s="11"/>
      <c r="E37" s="11"/>
      <c r="F37" s="11"/>
      <c r="G37" s="11">
        <f>-C12*(C9-(SUM(C6:C7)+SUM(E26:G26)))</f>
        <v>24000</v>
      </c>
    </row>
    <row r="38" spans="2:7" s="7" customFormat="1" x14ac:dyDescent="0.25">
      <c r="B38" s="16" t="s">
        <v>35</v>
      </c>
      <c r="C38" s="33">
        <f>C32+C33+C35</f>
        <v>-150000</v>
      </c>
      <c r="D38" s="33">
        <f t="shared" ref="D38:G38" si="12">D32+D33+D35</f>
        <v>-57500</v>
      </c>
      <c r="E38" s="33">
        <f t="shared" si="12"/>
        <v>-7500</v>
      </c>
      <c r="F38" s="33">
        <f t="shared" si="12"/>
        <v>-15000</v>
      </c>
      <c r="G38" s="33">
        <f t="shared" si="12"/>
        <v>114000</v>
      </c>
    </row>
    <row r="39" spans="2:7" s="25" customFormat="1" ht="7.5" customHeight="1" x14ac:dyDescent="0.2">
      <c r="B39" s="34"/>
    </row>
    <row r="40" spans="2:7" x14ac:dyDescent="0.25">
      <c r="B40" s="35" t="s">
        <v>36</v>
      </c>
      <c r="C40" s="36">
        <f>C30+C38</f>
        <v>-150000</v>
      </c>
      <c r="D40" s="36">
        <f t="shared" ref="D40:G40" si="13">D30+D38</f>
        <v>-57500</v>
      </c>
      <c r="E40" s="36">
        <f t="shared" si="13"/>
        <v>12500</v>
      </c>
      <c r="F40" s="36">
        <f t="shared" si="13"/>
        <v>36500</v>
      </c>
      <c r="G40" s="36">
        <f t="shared" si="13"/>
        <v>228500</v>
      </c>
    </row>
    <row r="41" spans="2:7" x14ac:dyDescent="0.25">
      <c r="B41" s="20" t="s">
        <v>37</v>
      </c>
      <c r="C41" s="10">
        <f>C40/(1+$C$13)^C17</f>
        <v>-150000</v>
      </c>
      <c r="D41" s="10">
        <f>D40/(1+$C$13)^D17</f>
        <v>-52272.727272727272</v>
      </c>
      <c r="E41" s="10">
        <f>E40/(1+$C$13)^E17</f>
        <v>10330.578512396693</v>
      </c>
      <c r="F41" s="10">
        <f>F40/(1+$C$13)^F17</f>
        <v>27422.990232907581</v>
      </c>
      <c r="G41" s="10">
        <f>G40/(1+$C$13)^G17</f>
        <v>156068.57455091862</v>
      </c>
    </row>
    <row r="42" spans="2:7" x14ac:dyDescent="0.25">
      <c r="B42" s="37" t="s">
        <v>38</v>
      </c>
      <c r="C42" s="38">
        <f>SUM(C41:H41)</f>
        <v>-8450.5839765043638</v>
      </c>
      <c r="D42" s="15"/>
      <c r="E42" s="15"/>
      <c r="F42" s="15"/>
      <c r="G42" s="15"/>
    </row>
  </sheetData>
  <pageMargins left="0.7" right="0.7" top="0.75" bottom="0.75" header="0.3" footer="0.3"/>
  <pageSetup scale="57" fitToHeight="0" orientation="portrait" r:id="rId1"/>
  <ignoredErrors>
    <ignoredError sqref="E28:G2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04C19-AAD4-4AFC-8438-8A74F413691C}">
  <sheetPr>
    <tabColor theme="1" tint="0.14999847407452621"/>
    <pageSetUpPr fitToPage="1"/>
  </sheetPr>
  <dimension ref="A1:Q38"/>
  <sheetViews>
    <sheetView showGridLines="0" topLeftCell="A2" zoomScale="130" zoomScaleNormal="130" workbookViewId="0">
      <selection activeCell="A14" sqref="A14"/>
    </sheetView>
  </sheetViews>
  <sheetFormatPr defaultColWidth="9.140625" defaultRowHeight="15" x14ac:dyDescent="0.25"/>
  <cols>
    <col min="1" max="1" width="1.42578125" customWidth="1"/>
    <col min="2" max="2" width="37.7109375" customWidth="1"/>
    <col min="3" max="3" width="8.7109375" bestFit="1" customWidth="1"/>
    <col min="4" max="6" width="7.5703125" bestFit="1" customWidth="1"/>
  </cols>
  <sheetData>
    <row r="1" spans="1:17" s="2" customFormat="1" ht="22.5" x14ac:dyDescent="0.3">
      <c r="A1" s="1" t="s">
        <v>94</v>
      </c>
    </row>
    <row r="2" spans="1:17" s="4" customFormat="1" ht="18.75" thickBot="1" x14ac:dyDescent="0.4">
      <c r="A2" s="3" t="s">
        <v>95</v>
      </c>
    </row>
    <row r="3" spans="1:17" s="6" customFormat="1" ht="18" x14ac:dyDescent="0.35">
      <c r="A3" s="5" t="s">
        <v>39</v>
      </c>
    </row>
    <row r="4" spans="1:17" s="26" customFormat="1" ht="15.75" x14ac:dyDescent="0.25">
      <c r="B4" s="27" t="s">
        <v>28</v>
      </c>
    </row>
    <row r="5" spans="1:17" s="25" customFormat="1" ht="7.5" customHeight="1" x14ac:dyDescent="0.2"/>
    <row r="6" spans="1:17" s="32" customFormat="1" ht="12" x14ac:dyDescent="0.2">
      <c r="A6" s="30"/>
      <c r="B6" s="14" t="s">
        <v>15</v>
      </c>
      <c r="C6" s="28">
        <v>3000000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s="32" customFormat="1" ht="12" x14ac:dyDescent="0.2">
      <c r="A7" s="30"/>
      <c r="B7" s="14" t="s">
        <v>49</v>
      </c>
      <c r="C7" s="28">
        <v>3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1:17" s="32" customFormat="1" ht="12" x14ac:dyDescent="0.2">
      <c r="A8" s="30"/>
      <c r="B8" s="14" t="s">
        <v>19</v>
      </c>
      <c r="C8" s="28">
        <v>25000000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spans="1:17" s="32" customFormat="1" ht="12" x14ac:dyDescent="0.2">
      <c r="A9" s="30"/>
      <c r="B9" s="14" t="s">
        <v>40</v>
      </c>
      <c r="C9" s="29">
        <v>0.1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7" s="32" customFormat="1" ht="12" x14ac:dyDescent="0.2">
      <c r="A10" s="30"/>
      <c r="B10" s="14" t="s">
        <v>43</v>
      </c>
      <c r="C10" s="29">
        <v>0.3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7" s="32" customFormat="1" ht="12" x14ac:dyDescent="0.2">
      <c r="A11" s="30"/>
      <c r="B11" s="14" t="s">
        <v>44</v>
      </c>
      <c r="C11" s="29">
        <v>0.32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s="32" customFormat="1" ht="12" x14ac:dyDescent="0.2">
      <c r="A12" s="30"/>
      <c r="B12" s="14" t="s">
        <v>50</v>
      </c>
      <c r="C12" s="28">
        <v>10000000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7" s="32" customFormat="1" ht="12" x14ac:dyDescent="0.2">
      <c r="A13" s="30"/>
      <c r="B13" s="31" t="s">
        <v>52</v>
      </c>
      <c r="C13" s="29">
        <v>0.1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7" s="32" customFormat="1" ht="12" x14ac:dyDescent="0.2">
      <c r="A14" s="30"/>
      <c r="B14" s="14" t="s">
        <v>11</v>
      </c>
      <c r="C14" s="29">
        <v>0.2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7" s="25" customFormat="1" ht="7.5" customHeight="1" x14ac:dyDescent="0.2"/>
    <row r="16" spans="1:17" s="23" customFormat="1" ht="15.75" x14ac:dyDescent="0.25">
      <c r="B16" s="24" t="s">
        <v>27</v>
      </c>
    </row>
    <row r="17" spans="2:6" s="25" customFormat="1" ht="7.5" customHeight="1" x14ac:dyDescent="0.2"/>
    <row r="18" spans="2:6" s="7" customFormat="1" x14ac:dyDescent="0.25">
      <c r="B18" s="8" t="s">
        <v>29</v>
      </c>
      <c r="C18" s="8">
        <v>0</v>
      </c>
      <c r="D18" s="9">
        <v>1</v>
      </c>
      <c r="E18" s="9">
        <v>2</v>
      </c>
      <c r="F18" s="9">
        <v>3</v>
      </c>
    </row>
    <row r="19" spans="2:6" s="7" customFormat="1" x14ac:dyDescent="0.25">
      <c r="B19" s="20" t="s">
        <v>45</v>
      </c>
      <c r="C19" s="13"/>
      <c r="D19" s="13">
        <f>D21-D20</f>
        <v>2500000.0000000037</v>
      </c>
      <c r="E19" s="13">
        <f t="shared" ref="E19:F19" si="0">E21-E20</f>
        <v>2500000.0000000037</v>
      </c>
      <c r="F19" s="13">
        <f t="shared" si="0"/>
        <v>2500000.0000000037</v>
      </c>
    </row>
    <row r="20" spans="2:6" s="7" customFormat="1" x14ac:dyDescent="0.25">
      <c r="B20" s="21" t="s">
        <v>41</v>
      </c>
      <c r="C20" s="11"/>
      <c r="D20" s="11">
        <f>$C$8</f>
        <v>25000000</v>
      </c>
      <c r="E20" s="11">
        <f t="shared" ref="E20:F20" si="1">$C$8</f>
        <v>25000000</v>
      </c>
      <c r="F20" s="11">
        <f t="shared" si="1"/>
        <v>25000000</v>
      </c>
    </row>
    <row r="21" spans="2:6" s="7" customFormat="1" x14ac:dyDescent="0.25">
      <c r="B21" s="21" t="s">
        <v>42</v>
      </c>
      <c r="C21" s="11"/>
      <c r="D21" s="11">
        <f>$C$8*(1+$C$9)</f>
        <v>27500000.000000004</v>
      </c>
      <c r="E21" s="11">
        <f t="shared" ref="E21:F21" si="2">$C$8*(1+$C$9)</f>
        <v>27500000.000000004</v>
      </c>
      <c r="F21" s="11">
        <f t="shared" si="2"/>
        <v>27500000.000000004</v>
      </c>
    </row>
    <row r="22" spans="2:6" s="7" customFormat="1" x14ac:dyDescent="0.25">
      <c r="B22" s="20" t="s">
        <v>46</v>
      </c>
      <c r="C22" s="13"/>
      <c r="D22" s="13">
        <f>D24-D23</f>
        <v>1300000.0000000019</v>
      </c>
      <c r="E22" s="13">
        <f t="shared" ref="E22:F22" si="3">E24-E23</f>
        <v>1300000.0000000019</v>
      </c>
      <c r="F22" s="13">
        <f t="shared" si="3"/>
        <v>1300000.0000000019</v>
      </c>
    </row>
    <row r="23" spans="2:6" s="7" customFormat="1" x14ac:dyDescent="0.25">
      <c r="B23" s="21" t="s">
        <v>47</v>
      </c>
      <c r="C23" s="11"/>
      <c r="D23" s="11">
        <f>D20*$C$10</f>
        <v>7500000</v>
      </c>
      <c r="E23" s="11">
        <f t="shared" ref="E23:F23" si="4">E20*$C$10</f>
        <v>7500000</v>
      </c>
      <c r="F23" s="11">
        <f t="shared" si="4"/>
        <v>7500000</v>
      </c>
    </row>
    <row r="24" spans="2:6" s="7" customFormat="1" x14ac:dyDescent="0.25">
      <c r="B24" s="21" t="s">
        <v>48</v>
      </c>
      <c r="C24" s="11"/>
      <c r="D24" s="11">
        <f>D21*$C$11</f>
        <v>8800000.0000000019</v>
      </c>
      <c r="E24" s="11">
        <f t="shared" ref="E24:F24" si="5">E21*$C$11</f>
        <v>8800000.0000000019</v>
      </c>
      <c r="F24" s="11">
        <f t="shared" si="5"/>
        <v>8800000.0000000019</v>
      </c>
    </row>
    <row r="25" spans="2:6" x14ac:dyDescent="0.25">
      <c r="B25" s="22" t="s">
        <v>51</v>
      </c>
      <c r="C25" s="13"/>
      <c r="D25" s="13">
        <v>0</v>
      </c>
      <c r="E25" s="13">
        <v>0</v>
      </c>
      <c r="F25" s="13">
        <v>0</v>
      </c>
    </row>
    <row r="26" spans="2:6" x14ac:dyDescent="0.25">
      <c r="B26" s="20" t="s">
        <v>6</v>
      </c>
      <c r="C26" s="13"/>
      <c r="D26" s="13">
        <f>+D22-D25</f>
        <v>1300000.0000000019</v>
      </c>
      <c r="E26" s="13">
        <f>+E22-E25</f>
        <v>1300000.0000000019</v>
      </c>
      <c r="F26" s="13">
        <f>+F22-F25</f>
        <v>1300000.0000000019</v>
      </c>
    </row>
    <row r="27" spans="2:6" x14ac:dyDescent="0.25">
      <c r="B27" s="22" t="s">
        <v>7</v>
      </c>
      <c r="C27" s="13"/>
      <c r="D27" s="13">
        <f>-$C$6/$C$7</f>
        <v>-1000000</v>
      </c>
      <c r="E27" s="13">
        <f t="shared" ref="E27:F27" si="6">-$C$6/$C$7</f>
        <v>-1000000</v>
      </c>
      <c r="F27" s="13">
        <f t="shared" si="6"/>
        <v>-1000000</v>
      </c>
    </row>
    <row r="28" spans="2:6" x14ac:dyDescent="0.25">
      <c r="B28" s="20" t="s">
        <v>9</v>
      </c>
      <c r="C28" s="13"/>
      <c r="D28" s="13">
        <f>+D26+D27</f>
        <v>300000.00000000186</v>
      </c>
      <c r="E28" s="13">
        <f t="shared" ref="E28:F28" si="7">+E26+E27</f>
        <v>300000.00000000186</v>
      </c>
      <c r="F28" s="13">
        <f t="shared" si="7"/>
        <v>300000.00000000186</v>
      </c>
    </row>
    <row r="29" spans="2:6" x14ac:dyDescent="0.25">
      <c r="B29" s="22" t="s">
        <v>10</v>
      </c>
      <c r="C29" s="13"/>
      <c r="D29" s="13">
        <f>-D28*$C$14</f>
        <v>-60000.000000000378</v>
      </c>
      <c r="E29" s="13">
        <f t="shared" ref="E29:F29" si="8">-E28*$C$14</f>
        <v>-60000.000000000378</v>
      </c>
      <c r="F29" s="13">
        <f t="shared" si="8"/>
        <v>-60000.000000000378</v>
      </c>
    </row>
    <row r="30" spans="2:6" x14ac:dyDescent="0.25">
      <c r="B30" s="20" t="s">
        <v>13</v>
      </c>
      <c r="C30" s="13"/>
      <c r="D30" s="13">
        <f>+D28+D29</f>
        <v>240000.00000000148</v>
      </c>
      <c r="E30" s="13">
        <f t="shared" ref="E30:F30" si="9">+E28+E29</f>
        <v>240000.00000000148</v>
      </c>
      <c r="F30" s="13">
        <f t="shared" si="9"/>
        <v>240000.00000000148</v>
      </c>
    </row>
    <row r="31" spans="2:6" x14ac:dyDescent="0.25">
      <c r="B31" s="16" t="s">
        <v>14</v>
      </c>
      <c r="C31" s="17"/>
      <c r="D31" s="17">
        <f>+D30-D27</f>
        <v>1240000.0000000014</v>
      </c>
      <c r="E31" s="17">
        <f t="shared" ref="E31:F31" si="10">+E30-E27</f>
        <v>1240000.0000000014</v>
      </c>
      <c r="F31" s="17">
        <f t="shared" si="10"/>
        <v>1240000.0000000014</v>
      </c>
    </row>
    <row r="32" spans="2:6" s="25" customFormat="1" ht="7.5" customHeight="1" x14ac:dyDescent="0.2">
      <c r="B32" s="34"/>
    </row>
    <row r="33" spans="2:6" x14ac:dyDescent="0.25">
      <c r="B33" s="19" t="s">
        <v>15</v>
      </c>
      <c r="C33" s="13">
        <f>-C6</f>
        <v>-3000000</v>
      </c>
      <c r="D33" s="13"/>
      <c r="E33" s="13"/>
      <c r="F33" s="13"/>
    </row>
    <row r="34" spans="2:6" x14ac:dyDescent="0.25">
      <c r="B34" s="19" t="s">
        <v>34</v>
      </c>
      <c r="C34" s="13">
        <f>-(C35)</f>
        <v>-250000.00000000038</v>
      </c>
      <c r="D34" s="13">
        <f t="shared" ref="D34:F34" si="11">-(D35-C35)</f>
        <v>0</v>
      </c>
      <c r="E34" s="13">
        <f t="shared" si="11"/>
        <v>0</v>
      </c>
      <c r="F34" s="13">
        <f t="shared" si="11"/>
        <v>250000.00000000038</v>
      </c>
    </row>
    <row r="35" spans="2:6" s="7" customFormat="1" x14ac:dyDescent="0.25">
      <c r="B35" s="21" t="s">
        <v>16</v>
      </c>
      <c r="C35" s="11">
        <f>D19*$C$13</f>
        <v>250000.00000000038</v>
      </c>
      <c r="D35" s="11">
        <f>E19*$C$13</f>
        <v>250000.00000000038</v>
      </c>
      <c r="E35" s="11">
        <f>F19*$C$13</f>
        <v>250000.00000000038</v>
      </c>
      <c r="F35" s="11">
        <f>G19*$C$13</f>
        <v>0</v>
      </c>
    </row>
    <row r="36" spans="2:6" s="7" customFormat="1" x14ac:dyDescent="0.25">
      <c r="B36" s="16" t="s">
        <v>35</v>
      </c>
      <c r="C36" s="33">
        <f>C33+C34</f>
        <v>-3250000.0000000005</v>
      </c>
      <c r="D36" s="33">
        <f t="shared" ref="D36:E36" si="12">D33+D34</f>
        <v>0</v>
      </c>
      <c r="E36" s="33">
        <f t="shared" si="12"/>
        <v>0</v>
      </c>
      <c r="F36" s="33">
        <f>F33+F34</f>
        <v>250000.00000000038</v>
      </c>
    </row>
    <row r="37" spans="2:6" s="25" customFormat="1" ht="7.5" customHeight="1" x14ac:dyDescent="0.2">
      <c r="B37" s="34"/>
    </row>
    <row r="38" spans="2:6" x14ac:dyDescent="0.25">
      <c r="B38" s="35" t="s">
        <v>36</v>
      </c>
      <c r="C38" s="36">
        <f>C31+C36</f>
        <v>-3250000.0000000005</v>
      </c>
      <c r="D38" s="36">
        <f>D31+D36</f>
        <v>1240000.0000000014</v>
      </c>
      <c r="E38" s="36">
        <f>E31+E36</f>
        <v>1240000.0000000014</v>
      </c>
      <c r="F38" s="36">
        <f>F31+F36</f>
        <v>1490000.0000000019</v>
      </c>
    </row>
  </sheetData>
  <pageMargins left="0.7" right="0.7" top="0.75" bottom="0.75" header="0.3" footer="0.3"/>
  <pageSetup scale="52" fitToHeight="0" orientation="portrait" r:id="rId1"/>
  <ignoredErrors>
    <ignoredError sqref="D29:F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824C5-6633-4CA4-9C40-940128A332E9}">
  <sheetPr>
    <tabColor theme="1" tint="0.14999847407452621"/>
    <pageSetUpPr fitToPage="1"/>
  </sheetPr>
  <dimension ref="A1:Q42"/>
  <sheetViews>
    <sheetView showGridLines="0" topLeftCell="A5" zoomScale="130" zoomScaleNormal="130" workbookViewId="0">
      <selection activeCell="A19" sqref="A19"/>
    </sheetView>
  </sheetViews>
  <sheetFormatPr defaultColWidth="9.140625" defaultRowHeight="15" x14ac:dyDescent="0.25"/>
  <cols>
    <col min="1" max="1" width="1.42578125" customWidth="1"/>
    <col min="2" max="2" width="37.7109375" customWidth="1"/>
    <col min="3" max="3" width="5.7109375" bestFit="1" customWidth="1"/>
    <col min="4" max="7" width="6.7109375" bestFit="1" customWidth="1"/>
    <col min="8" max="8" width="4.5703125" bestFit="1" customWidth="1"/>
  </cols>
  <sheetData>
    <row r="1" spans="1:17" s="2" customFormat="1" ht="22.5" x14ac:dyDescent="0.3">
      <c r="A1" s="1" t="s">
        <v>94</v>
      </c>
    </row>
    <row r="2" spans="1:17" s="4" customFormat="1" ht="18.75" thickBot="1" x14ac:dyDescent="0.4">
      <c r="A2" s="3" t="s">
        <v>95</v>
      </c>
    </row>
    <row r="3" spans="1:17" s="6" customFormat="1" ht="18" x14ac:dyDescent="0.35">
      <c r="A3" s="5" t="s">
        <v>53</v>
      </c>
    </row>
    <row r="4" spans="1:17" s="26" customFormat="1" ht="15.75" x14ac:dyDescent="0.25">
      <c r="B4" s="27" t="s">
        <v>28</v>
      </c>
    </row>
    <row r="5" spans="1:17" s="25" customFormat="1" ht="7.5" customHeight="1" x14ac:dyDescent="0.2"/>
    <row r="6" spans="1:17" s="32" customFormat="1" ht="12" x14ac:dyDescent="0.2">
      <c r="A6" s="30"/>
      <c r="B6" s="14" t="s">
        <v>55</v>
      </c>
      <c r="C6" s="28">
        <v>1000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s="32" customFormat="1" ht="12" x14ac:dyDescent="0.2">
      <c r="A7" s="30"/>
      <c r="B7" s="14" t="s">
        <v>56</v>
      </c>
      <c r="C7" s="29">
        <v>0.15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1:17" s="32" customFormat="1" ht="12" x14ac:dyDescent="0.2">
      <c r="A8" s="30"/>
      <c r="B8" s="14" t="s">
        <v>57</v>
      </c>
      <c r="C8" s="40">
        <v>30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spans="1:17" s="32" customFormat="1" ht="12" x14ac:dyDescent="0.2">
      <c r="A9" s="30"/>
      <c r="B9" s="14" t="s">
        <v>58</v>
      </c>
      <c r="C9" s="29">
        <v>0.1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7" s="32" customFormat="1" ht="12" x14ac:dyDescent="0.2">
      <c r="A10" s="30"/>
      <c r="B10" s="14" t="s">
        <v>59</v>
      </c>
      <c r="C10" s="28">
        <v>10000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7" s="32" customFormat="1" ht="12" x14ac:dyDescent="0.2">
      <c r="A11" s="30"/>
      <c r="B11" s="14" t="s">
        <v>61</v>
      </c>
      <c r="C11" s="40">
        <v>4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s="32" customFormat="1" ht="12" x14ac:dyDescent="0.2">
      <c r="A12" s="30"/>
      <c r="B12" s="14" t="s">
        <v>62</v>
      </c>
      <c r="C12" s="28">
        <v>20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7" s="32" customFormat="1" ht="12" x14ac:dyDescent="0.2">
      <c r="A13" s="30"/>
      <c r="B13" s="14" t="s">
        <v>63</v>
      </c>
      <c r="C13" s="28">
        <v>5000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7" s="32" customFormat="1" ht="12" x14ac:dyDescent="0.2">
      <c r="A14" s="30"/>
      <c r="B14" s="14" t="s">
        <v>64</v>
      </c>
      <c r="C14" s="28">
        <v>5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7" s="32" customFormat="1" ht="12" x14ac:dyDescent="0.2">
      <c r="A15" s="30"/>
      <c r="B15" s="14" t="s">
        <v>65</v>
      </c>
      <c r="C15" s="28">
        <v>4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7" s="32" customFormat="1" ht="12" x14ac:dyDescent="0.2">
      <c r="A16" s="30"/>
      <c r="B16" s="14" t="s">
        <v>11</v>
      </c>
      <c r="C16" s="29">
        <v>0.3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17" s="32" customFormat="1" ht="12" x14ac:dyDescent="0.2">
      <c r="A17" s="30"/>
      <c r="B17" s="14" t="s">
        <v>12</v>
      </c>
      <c r="C17" s="29">
        <v>0.15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1:17" s="25" customFormat="1" ht="7.5" customHeight="1" x14ac:dyDescent="0.2"/>
    <row r="19" spans="1:17" s="23" customFormat="1" ht="15.75" x14ac:dyDescent="0.25">
      <c r="B19" s="24" t="s">
        <v>27</v>
      </c>
    </row>
    <row r="20" spans="1:17" s="25" customFormat="1" ht="7.5" customHeight="1" x14ac:dyDescent="0.2"/>
    <row r="21" spans="1:17" s="7" customFormat="1" x14ac:dyDescent="0.25">
      <c r="B21" s="8" t="s">
        <v>29</v>
      </c>
      <c r="C21" s="8">
        <v>0</v>
      </c>
      <c r="D21" s="9">
        <v>1</v>
      </c>
      <c r="E21" s="9">
        <v>2</v>
      </c>
      <c r="F21" s="9">
        <v>3</v>
      </c>
      <c r="G21" s="9">
        <v>4</v>
      </c>
      <c r="H21" s="9">
        <v>5</v>
      </c>
    </row>
    <row r="22" spans="1:17" s="7" customFormat="1" x14ac:dyDescent="0.25">
      <c r="B22" s="20" t="s">
        <v>45</v>
      </c>
      <c r="C22" s="13"/>
      <c r="D22" s="13">
        <f>D23*D24</f>
        <v>30000</v>
      </c>
      <c r="E22" s="13">
        <f t="shared" ref="E22:G22" si="0">E23*E24</f>
        <v>37950</v>
      </c>
      <c r="F22" s="13">
        <f t="shared" si="0"/>
        <v>48006.750000000007</v>
      </c>
      <c r="G22" s="13">
        <f t="shared" si="0"/>
        <v>60728.53875</v>
      </c>
      <c r="H22" s="13"/>
    </row>
    <row r="23" spans="1:17" s="7" customFormat="1" x14ac:dyDescent="0.25">
      <c r="B23" s="21" t="s">
        <v>54</v>
      </c>
      <c r="C23" s="11"/>
      <c r="D23" s="39">
        <f>C6</f>
        <v>1000</v>
      </c>
      <c r="E23" s="39">
        <f>D23*(1+$C$7)</f>
        <v>1150</v>
      </c>
      <c r="F23" s="39">
        <f t="shared" ref="F23:G23" si="1">E23*(1+$C$7)</f>
        <v>1322.5</v>
      </c>
      <c r="G23" s="39">
        <f t="shared" si="1"/>
        <v>1520.8749999999998</v>
      </c>
      <c r="H23" s="39"/>
    </row>
    <row r="24" spans="1:17" s="7" customFormat="1" x14ac:dyDescent="0.25">
      <c r="B24" s="21" t="s">
        <v>57</v>
      </c>
      <c r="C24" s="11"/>
      <c r="D24" s="12">
        <f>C8</f>
        <v>30</v>
      </c>
      <c r="E24" s="12">
        <f>D24*(1+$C$9)</f>
        <v>33</v>
      </c>
      <c r="F24" s="12">
        <f t="shared" ref="F24:G24" si="2">E24*(1+$C$9)</f>
        <v>36.300000000000004</v>
      </c>
      <c r="G24" s="12">
        <f t="shared" si="2"/>
        <v>39.930000000000007</v>
      </c>
      <c r="H24" s="12"/>
    </row>
    <row r="25" spans="1:17" x14ac:dyDescent="0.25">
      <c r="B25" s="22" t="s">
        <v>66</v>
      </c>
      <c r="C25" s="13"/>
      <c r="D25" s="13">
        <f>-D23*$C$12</f>
        <v>-20000</v>
      </c>
      <c r="E25" s="13">
        <f t="shared" ref="E25:G25" si="3">-E23*$C$12</f>
        <v>-23000</v>
      </c>
      <c r="F25" s="13">
        <f t="shared" si="3"/>
        <v>-26450</v>
      </c>
      <c r="G25" s="13">
        <f t="shared" si="3"/>
        <v>-30417.499999999996</v>
      </c>
      <c r="H25" s="13"/>
    </row>
    <row r="26" spans="1:17" x14ac:dyDescent="0.25">
      <c r="B26" s="22" t="s">
        <v>67</v>
      </c>
      <c r="C26" s="13"/>
      <c r="D26" s="13">
        <f>-$C$13</f>
        <v>-5000</v>
      </c>
      <c r="E26" s="13">
        <f t="shared" ref="E26:G26" si="4">-$C$13</f>
        <v>-5000</v>
      </c>
      <c r="F26" s="13">
        <f t="shared" si="4"/>
        <v>-5000</v>
      </c>
      <c r="G26" s="13">
        <f t="shared" si="4"/>
        <v>-5000</v>
      </c>
      <c r="H26" s="13"/>
    </row>
    <row r="27" spans="1:17" x14ac:dyDescent="0.25">
      <c r="B27" s="22" t="s">
        <v>68</v>
      </c>
      <c r="C27" s="13"/>
      <c r="D27" s="41">
        <f>-D23/100*$C$14</f>
        <v>-50</v>
      </c>
      <c r="E27" s="41">
        <f t="shared" ref="E27:G27" si="5">-E23/100*$C$14</f>
        <v>-57.5</v>
      </c>
      <c r="F27" s="41">
        <f t="shared" si="5"/>
        <v>-66.125</v>
      </c>
      <c r="G27" s="41">
        <f t="shared" si="5"/>
        <v>-76.043749999999989</v>
      </c>
      <c r="H27" s="41"/>
    </row>
    <row r="28" spans="1:17" x14ac:dyDescent="0.25">
      <c r="B28" s="20" t="s">
        <v>6</v>
      </c>
      <c r="C28" s="13"/>
      <c r="D28" s="13">
        <f>D22+D25+D26+D27</f>
        <v>4950</v>
      </c>
      <c r="E28" s="13">
        <f t="shared" ref="E28:G28" si="6">E22+E25+E26+E27</f>
        <v>9892.5</v>
      </c>
      <c r="F28" s="13">
        <f t="shared" si="6"/>
        <v>16490.625000000007</v>
      </c>
      <c r="G28" s="13">
        <f t="shared" si="6"/>
        <v>25234.995000000003</v>
      </c>
      <c r="H28" s="13"/>
    </row>
    <row r="29" spans="1:17" x14ac:dyDescent="0.25">
      <c r="B29" s="22" t="s">
        <v>7</v>
      </c>
      <c r="C29" s="13"/>
      <c r="D29" s="13">
        <f>-$C$10/$C$11</f>
        <v>-2500</v>
      </c>
      <c r="E29" s="13">
        <f t="shared" ref="E29:G29" si="7">-$C$10/$C$11</f>
        <v>-2500</v>
      </c>
      <c r="F29" s="13">
        <f t="shared" si="7"/>
        <v>-2500</v>
      </c>
      <c r="G29" s="13">
        <f t="shared" si="7"/>
        <v>-2500</v>
      </c>
      <c r="H29" s="13"/>
    </row>
    <row r="30" spans="1:17" x14ac:dyDescent="0.25">
      <c r="B30" s="20" t="s">
        <v>9</v>
      </c>
      <c r="C30" s="13"/>
      <c r="D30" s="13">
        <f>+D28+D29</f>
        <v>2450</v>
      </c>
      <c r="E30" s="13">
        <f t="shared" ref="E30:G30" si="8">+E28+E29</f>
        <v>7392.5</v>
      </c>
      <c r="F30" s="13">
        <f t="shared" si="8"/>
        <v>13990.625000000007</v>
      </c>
      <c r="G30" s="13">
        <f t="shared" si="8"/>
        <v>22734.995000000003</v>
      </c>
      <c r="H30" s="13"/>
    </row>
    <row r="31" spans="1:17" x14ac:dyDescent="0.25">
      <c r="B31" s="22" t="s">
        <v>10</v>
      </c>
      <c r="C31" s="13"/>
      <c r="D31" s="13">
        <f>-D30*$C$16</f>
        <v>-735</v>
      </c>
      <c r="E31" s="13">
        <f t="shared" ref="E31:G31" si="9">-E30*$C$16</f>
        <v>-2217.75</v>
      </c>
      <c r="F31" s="13">
        <f t="shared" si="9"/>
        <v>-4197.1875000000018</v>
      </c>
      <c r="G31" s="13">
        <f t="shared" si="9"/>
        <v>-6820.4985000000006</v>
      </c>
      <c r="H31" s="13"/>
    </row>
    <row r="32" spans="1:17" x14ac:dyDescent="0.25">
      <c r="B32" s="20" t="s">
        <v>13</v>
      </c>
      <c r="C32" s="13"/>
      <c r="D32" s="13">
        <f>+D30+D31</f>
        <v>1715</v>
      </c>
      <c r="E32" s="13">
        <f t="shared" ref="E32:G32" si="10">+E30+E31</f>
        <v>5174.75</v>
      </c>
      <c r="F32" s="13">
        <f t="shared" si="10"/>
        <v>9793.4375000000055</v>
      </c>
      <c r="G32" s="13">
        <f t="shared" si="10"/>
        <v>15914.496500000001</v>
      </c>
      <c r="H32" s="13"/>
    </row>
    <row r="33" spans="2:8" x14ac:dyDescent="0.25">
      <c r="B33" s="16" t="s">
        <v>14</v>
      </c>
      <c r="C33" s="17"/>
      <c r="D33" s="17">
        <f>+D32-D29</f>
        <v>4215</v>
      </c>
      <c r="E33" s="17">
        <f t="shared" ref="E33:G33" si="11">+E32-E29</f>
        <v>7674.75</v>
      </c>
      <c r="F33" s="17">
        <f t="shared" si="11"/>
        <v>12293.437500000005</v>
      </c>
      <c r="G33" s="17">
        <f t="shared" si="11"/>
        <v>18414.496500000001</v>
      </c>
      <c r="H33" s="17"/>
    </row>
    <row r="34" spans="2:8" s="25" customFormat="1" ht="7.5" customHeight="1" x14ac:dyDescent="0.2">
      <c r="B34" s="34"/>
    </row>
    <row r="35" spans="2:8" x14ac:dyDescent="0.25">
      <c r="B35" s="19" t="s">
        <v>15</v>
      </c>
      <c r="C35" s="13">
        <f>-C10</f>
        <v>-10000</v>
      </c>
      <c r="D35" s="13"/>
      <c r="E35" s="13"/>
      <c r="F35" s="13"/>
      <c r="G35" s="13"/>
      <c r="H35" s="13"/>
    </row>
    <row r="36" spans="2:8" x14ac:dyDescent="0.25">
      <c r="B36" s="19" t="s">
        <v>34</v>
      </c>
      <c r="C36" s="41"/>
      <c r="D36" s="41">
        <f t="shared" ref="D36:F36" si="12">-(D37-C37)</f>
        <v>16.666666666666664</v>
      </c>
      <c r="E36" s="41">
        <f t="shared" si="12"/>
        <v>2.5</v>
      </c>
      <c r="F36" s="41">
        <f t="shared" si="12"/>
        <v>2.875</v>
      </c>
      <c r="G36" s="41">
        <f t="shared" ref="G36:H36" si="13">-(G37-F37)</f>
        <v>3.3062499999999986</v>
      </c>
      <c r="H36" s="41">
        <f t="shared" si="13"/>
        <v>-25.347916666666663</v>
      </c>
    </row>
    <row r="37" spans="2:8" s="7" customFormat="1" x14ac:dyDescent="0.25">
      <c r="B37" s="21" t="s">
        <v>16</v>
      </c>
      <c r="C37" s="42"/>
      <c r="D37" s="42">
        <f>-($C$15/12*-D27)</f>
        <v>-16.666666666666664</v>
      </c>
      <c r="E37" s="42">
        <f t="shared" ref="E37:H37" si="14">-($C$15/12*-E27)</f>
        <v>-19.166666666666664</v>
      </c>
      <c r="F37" s="42">
        <f t="shared" si="14"/>
        <v>-22.041666666666664</v>
      </c>
      <c r="G37" s="42">
        <f t="shared" si="14"/>
        <v>-25.347916666666663</v>
      </c>
      <c r="H37" s="42">
        <f t="shared" si="14"/>
        <v>0</v>
      </c>
    </row>
    <row r="38" spans="2:8" s="7" customFormat="1" x14ac:dyDescent="0.25">
      <c r="B38" s="16" t="s">
        <v>35</v>
      </c>
      <c r="C38" s="43">
        <f>C35+C36</f>
        <v>-10000</v>
      </c>
      <c r="D38" s="43">
        <f t="shared" ref="D38:H38" si="15">D35+D36</f>
        <v>16.666666666666664</v>
      </c>
      <c r="E38" s="43">
        <f t="shared" si="15"/>
        <v>2.5</v>
      </c>
      <c r="F38" s="43">
        <f t="shared" si="15"/>
        <v>2.875</v>
      </c>
      <c r="G38" s="43">
        <f t="shared" si="15"/>
        <v>3.3062499999999986</v>
      </c>
      <c r="H38" s="43">
        <f t="shared" si="15"/>
        <v>-25.347916666666663</v>
      </c>
    </row>
    <row r="39" spans="2:8" s="25" customFormat="1" ht="7.5" customHeight="1" x14ac:dyDescent="0.2">
      <c r="B39" s="34"/>
    </row>
    <row r="40" spans="2:8" x14ac:dyDescent="0.25">
      <c r="B40" s="35" t="s">
        <v>36</v>
      </c>
      <c r="C40" s="44">
        <f>C33+C38</f>
        <v>-10000</v>
      </c>
      <c r="D40" s="44">
        <f t="shared" ref="D40:H40" si="16">D33+D38</f>
        <v>4231.666666666667</v>
      </c>
      <c r="E40" s="44">
        <f t="shared" si="16"/>
        <v>7677.25</v>
      </c>
      <c r="F40" s="44">
        <f t="shared" si="16"/>
        <v>12296.312500000005</v>
      </c>
      <c r="G40" s="44">
        <f t="shared" si="16"/>
        <v>18417.802750000003</v>
      </c>
      <c r="H40" s="44">
        <f t="shared" si="16"/>
        <v>-25.347916666666663</v>
      </c>
    </row>
    <row r="41" spans="2:8" x14ac:dyDescent="0.25">
      <c r="B41" s="20" t="s">
        <v>37</v>
      </c>
      <c r="C41" s="10">
        <f>C40/(1+$C$17)^C21</f>
        <v>-10000</v>
      </c>
      <c r="D41" s="10">
        <f t="shared" ref="D41:H41" si="17">D40/(1+$C$17)^D21</f>
        <v>3679.7101449275369</v>
      </c>
      <c r="E41" s="10">
        <f t="shared" si="17"/>
        <v>5805.1039697542546</v>
      </c>
      <c r="F41" s="10">
        <f t="shared" si="17"/>
        <v>8085.0250678063676</v>
      </c>
      <c r="G41" s="10">
        <f t="shared" si="17"/>
        <v>10530.438499004797</v>
      </c>
      <c r="H41" s="10">
        <f t="shared" si="17"/>
        <v>-12.602394454946442</v>
      </c>
    </row>
    <row r="42" spans="2:8" x14ac:dyDescent="0.25">
      <c r="B42" s="37" t="s">
        <v>38</v>
      </c>
      <c r="C42" s="38">
        <f>SUM(C41:H41)</f>
        <v>18087.675287038011</v>
      </c>
      <c r="D42" s="15"/>
      <c r="E42" s="15"/>
      <c r="F42" s="15"/>
      <c r="G42" s="15"/>
      <c r="H42" s="15"/>
    </row>
  </sheetData>
  <pageMargins left="0.7" right="0.7" top="0.75" bottom="0.75" header="0.3" footer="0.3"/>
  <pageSetup scale="57" fitToHeight="0" orientation="portrait" r:id="rId1"/>
  <ignoredErrors>
    <ignoredError sqref="D31:G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6C32A-3C01-4F47-BC8E-9D2E1C9B62D5}">
  <sheetPr>
    <tabColor theme="1" tint="0.14999847407452621"/>
    <pageSetUpPr fitToPage="1"/>
  </sheetPr>
  <dimension ref="A1:P33"/>
  <sheetViews>
    <sheetView showGridLines="0" zoomScale="130" zoomScaleNormal="130" workbookViewId="0">
      <selection activeCell="B9" sqref="B9"/>
    </sheetView>
  </sheetViews>
  <sheetFormatPr defaultColWidth="9.140625" defaultRowHeight="15" x14ac:dyDescent="0.25"/>
  <cols>
    <col min="1" max="1" width="1.42578125" customWidth="1"/>
    <col min="2" max="2" width="40" bestFit="1" customWidth="1"/>
    <col min="3" max="3" width="6.5703125" bestFit="1" customWidth="1"/>
    <col min="4" max="7" width="6.7109375" bestFit="1" customWidth="1"/>
  </cols>
  <sheetData>
    <row r="1" spans="1:16" s="2" customFormat="1" ht="22.5" x14ac:dyDescent="0.3">
      <c r="A1" s="1" t="s">
        <v>94</v>
      </c>
    </row>
    <row r="2" spans="1:16" s="4" customFormat="1" ht="18.75" thickBot="1" x14ac:dyDescent="0.4">
      <c r="A2" s="3" t="s">
        <v>95</v>
      </c>
    </row>
    <row r="3" spans="1:16" s="6" customFormat="1" ht="18" x14ac:dyDescent="0.35">
      <c r="A3" s="5" t="s">
        <v>69</v>
      </c>
    </row>
    <row r="4" spans="1:16" s="26" customFormat="1" ht="15.75" x14ac:dyDescent="0.25">
      <c r="B4" s="27" t="s">
        <v>28</v>
      </c>
    </row>
    <row r="5" spans="1:16" s="25" customFormat="1" ht="7.5" customHeight="1" x14ac:dyDescent="0.2"/>
    <row r="6" spans="1:16" s="32" customFormat="1" ht="12" x14ac:dyDescent="0.2">
      <c r="A6" s="30"/>
      <c r="B6" s="14" t="s">
        <v>15</v>
      </c>
      <c r="C6" s="28">
        <v>400000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s="32" customFormat="1" ht="12" x14ac:dyDescent="0.2">
      <c r="A7" s="30"/>
      <c r="B7" s="14" t="s">
        <v>60</v>
      </c>
      <c r="C7" s="28">
        <v>4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s="32" customFormat="1" ht="12" x14ac:dyDescent="0.2">
      <c r="A8" s="30"/>
      <c r="B8" s="14" t="s">
        <v>96</v>
      </c>
      <c r="C8" s="28">
        <v>20000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s="32" customFormat="1" ht="12" x14ac:dyDescent="0.2">
      <c r="A9" s="30"/>
      <c r="B9" s="14" t="s">
        <v>21</v>
      </c>
      <c r="C9" s="28">
        <v>600000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s="32" customFormat="1" ht="12" x14ac:dyDescent="0.2">
      <c r="A10" s="30"/>
      <c r="B10" s="14" t="s">
        <v>23</v>
      </c>
      <c r="C10" s="29">
        <v>0.25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s="32" customFormat="1" ht="12" x14ac:dyDescent="0.2">
      <c r="A11" s="30"/>
      <c r="B11" s="14" t="s">
        <v>70</v>
      </c>
      <c r="C11" s="29">
        <v>0.15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s="32" customFormat="1" ht="12" x14ac:dyDescent="0.2">
      <c r="A12" s="30"/>
      <c r="B12" s="14" t="s">
        <v>11</v>
      </c>
      <c r="C12" s="29">
        <v>0.2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s="25" customFormat="1" ht="7.5" customHeight="1" x14ac:dyDescent="0.2"/>
    <row r="14" spans="1:16" s="23" customFormat="1" ht="15.75" x14ac:dyDescent="0.25">
      <c r="B14" s="24" t="s">
        <v>27</v>
      </c>
    </row>
    <row r="15" spans="1:16" s="25" customFormat="1" ht="7.5" customHeight="1" x14ac:dyDescent="0.2"/>
    <row r="16" spans="1:16" s="7" customFormat="1" x14ac:dyDescent="0.25">
      <c r="B16" s="8" t="s">
        <v>29</v>
      </c>
      <c r="C16" s="8">
        <v>0</v>
      </c>
      <c r="D16" s="9">
        <v>1</v>
      </c>
      <c r="E16" s="9">
        <v>2</v>
      </c>
      <c r="F16" s="9">
        <v>3</v>
      </c>
      <c r="G16" s="9">
        <v>4</v>
      </c>
    </row>
    <row r="17" spans="2:7" s="7" customFormat="1" x14ac:dyDescent="0.25">
      <c r="B17" s="20" t="s">
        <v>21</v>
      </c>
      <c r="C17" s="13"/>
      <c r="D17" s="13">
        <f>$C$9</f>
        <v>600000</v>
      </c>
      <c r="E17" s="13">
        <f t="shared" ref="E17:G17" si="0">$C$9</f>
        <v>600000</v>
      </c>
      <c r="F17" s="13">
        <f t="shared" si="0"/>
        <v>600000</v>
      </c>
      <c r="G17" s="13">
        <f t="shared" si="0"/>
        <v>600000</v>
      </c>
    </row>
    <row r="18" spans="2:7" x14ac:dyDescent="0.25">
      <c r="B18" s="20" t="s">
        <v>6</v>
      </c>
      <c r="C18" s="13"/>
      <c r="D18" s="13">
        <f>$C$10*D17</f>
        <v>150000</v>
      </c>
      <c r="E18" s="13">
        <f t="shared" ref="E18:G18" si="1">$C$10*E17</f>
        <v>150000</v>
      </c>
      <c r="F18" s="13">
        <f t="shared" si="1"/>
        <v>150000</v>
      </c>
      <c r="G18" s="13">
        <f t="shared" si="1"/>
        <v>150000</v>
      </c>
    </row>
    <row r="19" spans="2:7" x14ac:dyDescent="0.25">
      <c r="B19" s="22" t="s">
        <v>7</v>
      </c>
      <c r="C19" s="13"/>
      <c r="D19" s="13">
        <f>-$C$6/$C$7</f>
        <v>-100000</v>
      </c>
      <c r="E19" s="13">
        <f t="shared" ref="E19:G19" si="2">-$C$6/$C$7</f>
        <v>-100000</v>
      </c>
      <c r="F19" s="13">
        <f t="shared" si="2"/>
        <v>-100000</v>
      </c>
      <c r="G19" s="13">
        <f t="shared" si="2"/>
        <v>-100000</v>
      </c>
    </row>
    <row r="20" spans="2:7" x14ac:dyDescent="0.25">
      <c r="B20" s="20" t="s">
        <v>9</v>
      </c>
      <c r="C20" s="13"/>
      <c r="D20" s="13">
        <f>+D18+D19</f>
        <v>50000</v>
      </c>
      <c r="E20" s="13">
        <f t="shared" ref="E20:G20" si="3">+E18+E19</f>
        <v>50000</v>
      </c>
      <c r="F20" s="13">
        <f t="shared" si="3"/>
        <v>50000</v>
      </c>
      <c r="G20" s="13">
        <f t="shared" si="3"/>
        <v>50000</v>
      </c>
    </row>
    <row r="21" spans="2:7" x14ac:dyDescent="0.25">
      <c r="B21" s="22" t="s">
        <v>10</v>
      </c>
      <c r="C21" s="13"/>
      <c r="D21" s="13">
        <f>-D20*$C$12</f>
        <v>-10000</v>
      </c>
      <c r="E21" s="13">
        <f t="shared" ref="E21:G21" si="4">-E20*$C$12</f>
        <v>-10000</v>
      </c>
      <c r="F21" s="13">
        <f t="shared" si="4"/>
        <v>-10000</v>
      </c>
      <c r="G21" s="13">
        <f t="shared" si="4"/>
        <v>-10000</v>
      </c>
    </row>
    <row r="22" spans="2:7" x14ac:dyDescent="0.25">
      <c r="B22" s="20" t="s">
        <v>13</v>
      </c>
      <c r="C22" s="13"/>
      <c r="D22" s="13">
        <f>+D20+D21</f>
        <v>40000</v>
      </c>
      <c r="E22" s="13">
        <f t="shared" ref="E22:G22" si="5">+E20+E21</f>
        <v>40000</v>
      </c>
      <c r="F22" s="13">
        <f t="shared" si="5"/>
        <v>40000</v>
      </c>
      <c r="G22" s="13">
        <f t="shared" si="5"/>
        <v>40000</v>
      </c>
    </row>
    <row r="23" spans="2:7" x14ac:dyDescent="0.25">
      <c r="B23" s="16" t="s">
        <v>14</v>
      </c>
      <c r="C23" s="17"/>
      <c r="D23" s="17">
        <f>+D22-D19</f>
        <v>140000</v>
      </c>
      <c r="E23" s="17">
        <f t="shared" ref="E23:G23" si="6">+E22-E19</f>
        <v>140000</v>
      </c>
      <c r="F23" s="17">
        <f t="shared" si="6"/>
        <v>140000</v>
      </c>
      <c r="G23" s="17">
        <f t="shared" si="6"/>
        <v>140000</v>
      </c>
    </row>
    <row r="24" spans="2:7" s="25" customFormat="1" ht="7.5" customHeight="1" x14ac:dyDescent="0.2">
      <c r="B24" s="34"/>
    </row>
    <row r="25" spans="2:7" x14ac:dyDescent="0.25">
      <c r="B25" s="19" t="s">
        <v>15</v>
      </c>
      <c r="C25" s="13">
        <f>-C6</f>
        <v>-400000</v>
      </c>
      <c r="D25" s="13"/>
      <c r="E25" s="13"/>
      <c r="F25" s="13"/>
      <c r="G25" s="13"/>
    </row>
    <row r="26" spans="2:7" x14ac:dyDescent="0.25">
      <c r="B26" s="19" t="s">
        <v>18</v>
      </c>
      <c r="C26" s="13"/>
      <c r="D26" s="13">
        <f>D27+D28</f>
        <v>0</v>
      </c>
      <c r="E26" s="13">
        <f t="shared" ref="E26:G26" si="7">E27+E28</f>
        <v>0</v>
      </c>
      <c r="F26" s="13">
        <f t="shared" si="7"/>
        <v>0</v>
      </c>
      <c r="G26" s="13">
        <f t="shared" si="7"/>
        <v>16000</v>
      </c>
    </row>
    <row r="27" spans="2:7" s="7" customFormat="1" x14ac:dyDescent="0.25">
      <c r="B27" s="21" t="s">
        <v>96</v>
      </c>
      <c r="C27" s="11"/>
      <c r="D27" s="11"/>
      <c r="E27" s="11"/>
      <c r="F27" s="11"/>
      <c r="G27" s="11">
        <f>C8</f>
        <v>20000</v>
      </c>
    </row>
    <row r="28" spans="2:7" s="7" customFormat="1" x14ac:dyDescent="0.25">
      <c r="B28" s="21" t="s">
        <v>24</v>
      </c>
      <c r="C28" s="11"/>
      <c r="D28" s="11"/>
      <c r="E28" s="11"/>
      <c r="F28" s="11"/>
      <c r="G28" s="11">
        <f>-C12*(C8-(C6+SUM(D19:G19)))</f>
        <v>-4000</v>
      </c>
    </row>
    <row r="29" spans="2:7" x14ac:dyDescent="0.25">
      <c r="B29" s="19" t="s">
        <v>34</v>
      </c>
      <c r="C29" s="13">
        <f>-(C30)</f>
        <v>-90000</v>
      </c>
      <c r="D29" s="13">
        <f t="shared" ref="D29:G29" si="8">-(D30-C30)</f>
        <v>0</v>
      </c>
      <c r="E29" s="13">
        <f t="shared" si="8"/>
        <v>0</v>
      </c>
      <c r="F29" s="13">
        <f t="shared" si="8"/>
        <v>0</v>
      </c>
      <c r="G29" s="13">
        <f t="shared" si="8"/>
        <v>90000</v>
      </c>
    </row>
    <row r="30" spans="2:7" s="7" customFormat="1" x14ac:dyDescent="0.25">
      <c r="B30" s="21" t="s">
        <v>16</v>
      </c>
      <c r="C30" s="11">
        <f>$C$11*D17</f>
        <v>90000</v>
      </c>
      <c r="D30" s="11">
        <f t="shared" ref="D30:G30" si="9">$C$11*E17</f>
        <v>90000</v>
      </c>
      <c r="E30" s="11">
        <f t="shared" si="9"/>
        <v>90000</v>
      </c>
      <c r="F30" s="11">
        <f t="shared" si="9"/>
        <v>90000</v>
      </c>
      <c r="G30" s="11">
        <f t="shared" si="9"/>
        <v>0</v>
      </c>
    </row>
    <row r="31" spans="2:7" s="7" customFormat="1" x14ac:dyDescent="0.25">
      <c r="B31" s="16" t="s">
        <v>35</v>
      </c>
      <c r="C31" s="33">
        <f>C25+C29+C26</f>
        <v>-490000</v>
      </c>
      <c r="D31" s="33">
        <f t="shared" ref="D31:G31" si="10">D25+D29+D26</f>
        <v>0</v>
      </c>
      <c r="E31" s="33">
        <f t="shared" si="10"/>
        <v>0</v>
      </c>
      <c r="F31" s="33">
        <f t="shared" si="10"/>
        <v>0</v>
      </c>
      <c r="G31" s="33">
        <f t="shared" si="10"/>
        <v>106000</v>
      </c>
    </row>
    <row r="32" spans="2:7" s="25" customFormat="1" ht="7.5" customHeight="1" x14ac:dyDescent="0.2">
      <c r="B32" s="34"/>
      <c r="C32" s="45"/>
      <c r="D32" s="45"/>
      <c r="E32" s="45"/>
      <c r="F32" s="45"/>
      <c r="G32" s="45"/>
    </row>
    <row r="33" spans="2:7" x14ac:dyDescent="0.25">
      <c r="B33" s="35" t="s">
        <v>36</v>
      </c>
      <c r="C33" s="36">
        <f>C23+C31</f>
        <v>-490000</v>
      </c>
      <c r="D33" s="36">
        <f>D23+D31</f>
        <v>140000</v>
      </c>
      <c r="E33" s="36">
        <f>E23+E31</f>
        <v>140000</v>
      </c>
      <c r="F33" s="36">
        <f>F23+F31</f>
        <v>140000</v>
      </c>
      <c r="G33" s="36">
        <f>G23+G31</f>
        <v>246000</v>
      </c>
    </row>
  </sheetData>
  <pageMargins left="0.7" right="0.7" top="0.75" bottom="0.75" header="0.3" footer="0.3"/>
  <pageSetup scale="57" fitToHeight="0" orientation="portrait" r:id="rId1"/>
  <ignoredErrors>
    <ignoredError sqref="D21:G2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EB9C1-44EC-4B58-890F-AABB8F5B13A9}">
  <sheetPr>
    <tabColor theme="1" tint="0.14999847407452621"/>
    <pageSetUpPr fitToPage="1"/>
  </sheetPr>
  <dimension ref="A1:P43"/>
  <sheetViews>
    <sheetView showGridLines="0" zoomScale="130" zoomScaleNormal="130" workbookViewId="0">
      <selection activeCell="B9" sqref="B9"/>
    </sheetView>
  </sheetViews>
  <sheetFormatPr defaultColWidth="9.140625" defaultRowHeight="15" x14ac:dyDescent="0.25"/>
  <cols>
    <col min="1" max="1" width="1.42578125" customWidth="1"/>
    <col min="2" max="2" width="40" bestFit="1" customWidth="1"/>
    <col min="3" max="3" width="7.85546875" bestFit="1" customWidth="1"/>
    <col min="4" max="7" width="6.7109375" bestFit="1" customWidth="1"/>
  </cols>
  <sheetData>
    <row r="1" spans="1:16" s="2" customFormat="1" ht="22.5" x14ac:dyDescent="0.3">
      <c r="A1" s="1" t="s">
        <v>94</v>
      </c>
    </row>
    <row r="2" spans="1:16" s="4" customFormat="1" ht="18.75" thickBot="1" x14ac:dyDescent="0.4">
      <c r="A2" s="3" t="s">
        <v>95</v>
      </c>
    </row>
    <row r="3" spans="1:16" s="6" customFormat="1" ht="18" x14ac:dyDescent="0.35">
      <c r="A3" s="5" t="s">
        <v>71</v>
      </c>
    </row>
    <row r="4" spans="1:16" s="26" customFormat="1" ht="15.75" x14ac:dyDescent="0.25">
      <c r="B4" s="27" t="s">
        <v>28</v>
      </c>
    </row>
    <row r="5" spans="1:16" s="25" customFormat="1" ht="7.5" customHeight="1" x14ac:dyDescent="0.2"/>
    <row r="6" spans="1:16" s="32" customFormat="1" ht="12" x14ac:dyDescent="0.2">
      <c r="A6" s="30"/>
      <c r="B6" s="14" t="s">
        <v>15</v>
      </c>
      <c r="C6" s="28">
        <v>1000000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s="32" customFormat="1" ht="12" x14ac:dyDescent="0.2">
      <c r="A7" s="30"/>
      <c r="B7" s="14" t="s">
        <v>60</v>
      </c>
      <c r="C7" s="28">
        <v>10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s="32" customFormat="1" ht="12" x14ac:dyDescent="0.2">
      <c r="A8" s="30"/>
      <c r="B8" s="14" t="s">
        <v>96</v>
      </c>
      <c r="C8" s="28">
        <v>500000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s="32" customFormat="1" ht="12" x14ac:dyDescent="0.2">
      <c r="A9" s="30"/>
      <c r="B9" s="14" t="s">
        <v>72</v>
      </c>
      <c r="C9" s="28">
        <v>10000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s="32" customFormat="1" ht="12" x14ac:dyDescent="0.2">
      <c r="A10" s="30"/>
      <c r="B10" s="14" t="s">
        <v>73</v>
      </c>
      <c r="C10" s="28">
        <v>20000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s="32" customFormat="1" ht="12" x14ac:dyDescent="0.2">
      <c r="A11" s="30"/>
      <c r="B11" s="14" t="s">
        <v>74</v>
      </c>
      <c r="C11" s="28">
        <v>25000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s="32" customFormat="1" ht="12" x14ac:dyDescent="0.2">
      <c r="A12" s="30"/>
      <c r="B12" s="14" t="s">
        <v>1</v>
      </c>
      <c r="C12" s="28">
        <v>200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s="32" customFormat="1" ht="12" x14ac:dyDescent="0.2">
      <c r="A13" s="30"/>
      <c r="B13" s="14" t="s">
        <v>75</v>
      </c>
      <c r="C13" s="29">
        <v>0.2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s="32" customFormat="1" ht="12" x14ac:dyDescent="0.2">
      <c r="A14" s="30"/>
      <c r="B14" s="14" t="s">
        <v>76</v>
      </c>
      <c r="C14" s="29">
        <v>0.3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s="32" customFormat="1" ht="12" x14ac:dyDescent="0.2">
      <c r="A15" s="30"/>
      <c r="B15" s="14" t="s">
        <v>77</v>
      </c>
      <c r="C15" s="29">
        <v>0.5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s="32" customFormat="1" ht="12" x14ac:dyDescent="0.2">
      <c r="A16" s="30"/>
      <c r="B16" s="14" t="s">
        <v>22</v>
      </c>
      <c r="C16" s="28">
        <v>200000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s="32" customFormat="1" ht="12" x14ac:dyDescent="0.2">
      <c r="A17" s="30"/>
      <c r="B17" s="14" t="s">
        <v>78</v>
      </c>
      <c r="C17" s="28">
        <v>3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32" customFormat="1" ht="12" x14ac:dyDescent="0.2">
      <c r="A18" s="30"/>
      <c r="B18" s="14" t="s">
        <v>11</v>
      </c>
      <c r="C18" s="29">
        <v>0.2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s="25" customFormat="1" ht="7.5" customHeight="1" x14ac:dyDescent="0.2"/>
    <row r="20" spans="1:16" s="23" customFormat="1" ht="15.75" x14ac:dyDescent="0.25">
      <c r="B20" s="24" t="s">
        <v>27</v>
      </c>
    </row>
    <row r="21" spans="1:16" s="25" customFormat="1" ht="7.5" customHeight="1" x14ac:dyDescent="0.2"/>
    <row r="22" spans="1:16" s="7" customFormat="1" x14ac:dyDescent="0.25">
      <c r="B22" s="8" t="s">
        <v>29</v>
      </c>
      <c r="C22" s="8">
        <v>0</v>
      </c>
      <c r="D22" s="9">
        <v>1</v>
      </c>
      <c r="E22" s="9">
        <v>2</v>
      </c>
      <c r="F22" s="9">
        <v>3</v>
      </c>
      <c r="G22" s="9">
        <v>4</v>
      </c>
    </row>
    <row r="23" spans="1:16" s="7" customFormat="1" x14ac:dyDescent="0.25">
      <c r="B23" s="20" t="s">
        <v>2</v>
      </c>
      <c r="C23" s="13"/>
      <c r="D23" s="13">
        <f>D24*$C$12</f>
        <v>2000000</v>
      </c>
      <c r="E23" s="13">
        <f>E24*$C$12</f>
        <v>4000000</v>
      </c>
      <c r="F23" s="13">
        <f t="shared" ref="F23" si="0">F24*$C$12</f>
        <v>5000000</v>
      </c>
      <c r="G23" s="13"/>
    </row>
    <row r="24" spans="1:16" s="7" customFormat="1" x14ac:dyDescent="0.25">
      <c r="B24" s="21" t="s">
        <v>0</v>
      </c>
      <c r="C24" s="11"/>
      <c r="D24" s="11">
        <f>C9</f>
        <v>10000</v>
      </c>
      <c r="E24" s="11">
        <f>C10</f>
        <v>20000</v>
      </c>
      <c r="F24" s="11">
        <f>C11</f>
        <v>25000</v>
      </c>
      <c r="G24" s="11"/>
    </row>
    <row r="25" spans="1:16" s="7" customFormat="1" x14ac:dyDescent="0.25">
      <c r="B25" s="20" t="s">
        <v>8</v>
      </c>
      <c r="C25" s="13"/>
      <c r="D25" s="13">
        <f>D23*D26</f>
        <v>400000</v>
      </c>
      <c r="E25" s="13">
        <f t="shared" ref="E25:F25" si="1">E23*E26</f>
        <v>1200000</v>
      </c>
      <c r="F25" s="13">
        <f t="shared" si="1"/>
        <v>2500000</v>
      </c>
      <c r="G25" s="13"/>
    </row>
    <row r="26" spans="1:16" s="7" customFormat="1" x14ac:dyDescent="0.25">
      <c r="B26" s="21" t="s">
        <v>20</v>
      </c>
      <c r="C26" s="11"/>
      <c r="D26" s="46">
        <f>C13</f>
        <v>0.2</v>
      </c>
      <c r="E26" s="46">
        <f>C14</f>
        <v>0.3</v>
      </c>
      <c r="F26" s="46">
        <f>C15</f>
        <v>0.5</v>
      </c>
      <c r="G26" s="12"/>
    </row>
    <row r="27" spans="1:16" x14ac:dyDescent="0.25">
      <c r="B27" s="22" t="s">
        <v>22</v>
      </c>
      <c r="C27" s="13"/>
      <c r="D27" s="13">
        <f>-$C$16</f>
        <v>-200000</v>
      </c>
      <c r="E27" s="13">
        <f t="shared" ref="E27:F27" si="2">-$C$16</f>
        <v>-200000</v>
      </c>
      <c r="F27" s="13">
        <f t="shared" si="2"/>
        <v>-200000</v>
      </c>
      <c r="G27" s="13"/>
    </row>
    <row r="28" spans="1:16" x14ac:dyDescent="0.25">
      <c r="B28" s="20" t="s">
        <v>6</v>
      </c>
      <c r="C28" s="13"/>
      <c r="D28" s="13">
        <f>D25+D27</f>
        <v>200000</v>
      </c>
      <c r="E28" s="13">
        <f t="shared" ref="E28:F28" si="3">E25+E27</f>
        <v>1000000</v>
      </c>
      <c r="F28" s="13">
        <f t="shared" si="3"/>
        <v>2300000</v>
      </c>
      <c r="G28" s="13"/>
    </row>
    <row r="29" spans="1:16" x14ac:dyDescent="0.25">
      <c r="B29" s="22" t="s">
        <v>7</v>
      </c>
      <c r="C29" s="13"/>
      <c r="D29" s="13">
        <f>-$C$6/$C$7</f>
        <v>-100000</v>
      </c>
      <c r="E29" s="13">
        <f t="shared" ref="E29:F29" si="4">-$C$6/$C$7</f>
        <v>-100000</v>
      </c>
      <c r="F29" s="13">
        <f t="shared" si="4"/>
        <v>-100000</v>
      </c>
      <c r="G29" s="13"/>
    </row>
    <row r="30" spans="1:16" x14ac:dyDescent="0.25">
      <c r="B30" s="20" t="s">
        <v>9</v>
      </c>
      <c r="C30" s="13"/>
      <c r="D30" s="13">
        <f>+D28+D29</f>
        <v>100000</v>
      </c>
      <c r="E30" s="13">
        <f t="shared" ref="E30:F30" si="5">+E28+E29</f>
        <v>900000</v>
      </c>
      <c r="F30" s="13">
        <f t="shared" si="5"/>
        <v>2200000</v>
      </c>
      <c r="G30" s="13"/>
    </row>
    <row r="31" spans="1:16" x14ac:dyDescent="0.25">
      <c r="B31" s="22" t="s">
        <v>10</v>
      </c>
      <c r="C31" s="13"/>
      <c r="D31" s="13">
        <f>-D30*$C$18</f>
        <v>-20000</v>
      </c>
      <c r="E31" s="13">
        <f t="shared" ref="E31:F31" si="6">-E30*$C$18</f>
        <v>-180000</v>
      </c>
      <c r="F31" s="13">
        <f t="shared" si="6"/>
        <v>-440000</v>
      </c>
      <c r="G31" s="13"/>
    </row>
    <row r="32" spans="1:16" x14ac:dyDescent="0.25">
      <c r="B32" s="20" t="s">
        <v>13</v>
      </c>
      <c r="C32" s="13"/>
      <c r="D32" s="13">
        <f>+D30+D31</f>
        <v>80000</v>
      </c>
      <c r="E32" s="13">
        <f t="shared" ref="E32:F32" si="7">+E30+E31</f>
        <v>720000</v>
      </c>
      <c r="F32" s="13">
        <f t="shared" si="7"/>
        <v>1760000</v>
      </c>
      <c r="G32" s="13"/>
    </row>
    <row r="33" spans="2:7" x14ac:dyDescent="0.25">
      <c r="B33" s="16" t="s">
        <v>14</v>
      </c>
      <c r="C33" s="17"/>
      <c r="D33" s="17">
        <f>+D32-D29</f>
        <v>180000</v>
      </c>
      <c r="E33" s="17">
        <f t="shared" ref="E33:F33" si="8">+E32-E29</f>
        <v>820000</v>
      </c>
      <c r="F33" s="17">
        <f t="shared" si="8"/>
        <v>1860000</v>
      </c>
      <c r="G33" s="17"/>
    </row>
    <row r="34" spans="2:7" s="25" customFormat="1" ht="7.5" customHeight="1" x14ac:dyDescent="0.2">
      <c r="B34" s="34"/>
    </row>
    <row r="35" spans="2:7" x14ac:dyDescent="0.25">
      <c r="B35" s="19" t="s">
        <v>15</v>
      </c>
      <c r="C35" s="13">
        <f>-C6</f>
        <v>-1000000</v>
      </c>
      <c r="D35" s="13"/>
      <c r="E35" s="13"/>
      <c r="F35" s="13"/>
      <c r="G35" s="13"/>
    </row>
    <row r="36" spans="2:7" x14ac:dyDescent="0.25">
      <c r="B36" s="19" t="s">
        <v>18</v>
      </c>
      <c r="C36" s="13"/>
      <c r="D36" s="13">
        <f>D37+D38</f>
        <v>0</v>
      </c>
      <c r="E36" s="13">
        <f t="shared" ref="E36:F36" si="9">E37+E38</f>
        <v>0</v>
      </c>
      <c r="F36" s="13">
        <f t="shared" si="9"/>
        <v>540000</v>
      </c>
      <c r="G36" s="13"/>
    </row>
    <row r="37" spans="2:7" s="7" customFormat="1" x14ac:dyDescent="0.25">
      <c r="B37" s="21" t="s">
        <v>96</v>
      </c>
      <c r="C37" s="11"/>
      <c r="D37" s="11"/>
      <c r="E37" s="11"/>
      <c r="F37" s="11">
        <f>C8</f>
        <v>500000</v>
      </c>
      <c r="G37" s="11"/>
    </row>
    <row r="38" spans="2:7" s="7" customFormat="1" x14ac:dyDescent="0.25">
      <c r="B38" s="21" t="s">
        <v>24</v>
      </c>
      <c r="C38" s="11"/>
      <c r="D38" s="11"/>
      <c r="E38" s="11"/>
      <c r="F38" s="11">
        <f>-C18*(C8-(C6+SUM(D29:G29)))</f>
        <v>40000</v>
      </c>
      <c r="G38" s="11"/>
    </row>
    <row r="39" spans="2:7" x14ac:dyDescent="0.25">
      <c r="B39" s="19" t="s">
        <v>34</v>
      </c>
      <c r="C39" s="13">
        <f>-(C40)</f>
        <v>0</v>
      </c>
      <c r="D39" s="13">
        <f t="shared" ref="D39:G39" si="10">-(D40-C40)</f>
        <v>-500000</v>
      </c>
      <c r="E39" s="13">
        <f t="shared" si="10"/>
        <v>-500000</v>
      </c>
      <c r="F39" s="13">
        <f t="shared" si="10"/>
        <v>-250000</v>
      </c>
      <c r="G39" s="13">
        <f t="shared" si="10"/>
        <v>1250000</v>
      </c>
    </row>
    <row r="40" spans="2:7" s="7" customFormat="1" x14ac:dyDescent="0.25">
      <c r="B40" s="21" t="s">
        <v>16</v>
      </c>
      <c r="C40" s="11"/>
      <c r="D40" s="11">
        <f>D23*$C$17/12</f>
        <v>500000</v>
      </c>
      <c r="E40" s="11">
        <f t="shared" ref="E40:G40" si="11">E23*$C$17/12</f>
        <v>1000000</v>
      </c>
      <c r="F40" s="11">
        <f t="shared" si="11"/>
        <v>1250000</v>
      </c>
      <c r="G40" s="11">
        <f t="shared" si="11"/>
        <v>0</v>
      </c>
    </row>
    <row r="41" spans="2:7" s="7" customFormat="1" x14ac:dyDescent="0.25">
      <c r="B41" s="16" t="s">
        <v>35</v>
      </c>
      <c r="C41" s="33">
        <f>C35+C39+C36</f>
        <v>-1000000</v>
      </c>
      <c r="D41" s="33">
        <f t="shared" ref="D41:G41" si="12">D35+D39+D36</f>
        <v>-500000</v>
      </c>
      <c r="E41" s="33">
        <f t="shared" si="12"/>
        <v>-500000</v>
      </c>
      <c r="F41" s="33">
        <f>F35+F39+F36</f>
        <v>290000</v>
      </c>
      <c r="G41" s="33">
        <f t="shared" si="12"/>
        <v>1250000</v>
      </c>
    </row>
    <row r="42" spans="2:7" s="25" customFormat="1" ht="7.5" customHeight="1" x14ac:dyDescent="0.2">
      <c r="B42" s="34"/>
      <c r="C42" s="45"/>
      <c r="D42" s="45"/>
      <c r="E42" s="45"/>
      <c r="F42" s="45"/>
      <c r="G42" s="45"/>
    </row>
    <row r="43" spans="2:7" x14ac:dyDescent="0.25">
      <c r="B43" s="35" t="s">
        <v>36</v>
      </c>
      <c r="C43" s="36">
        <f>C33+C41</f>
        <v>-1000000</v>
      </c>
      <c r="D43" s="36">
        <f>D33+D41</f>
        <v>-320000</v>
      </c>
      <c r="E43" s="36">
        <f>E33+E41</f>
        <v>320000</v>
      </c>
      <c r="F43" s="36">
        <f>F33+F41</f>
        <v>2150000</v>
      </c>
      <c r="G43" s="36">
        <f>G33+G41</f>
        <v>1250000</v>
      </c>
    </row>
  </sheetData>
  <pageMargins left="0.7" right="0.7" top="0.75" bottom="0.75" header="0.3" footer="0.3"/>
  <pageSetup scale="51" fitToHeight="0" orientation="portrait" r:id="rId1"/>
  <ignoredErrors>
    <ignoredError sqref="D31:F31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F1945-155A-40F1-BF00-D69A3267F0F9}">
  <sheetPr>
    <tabColor theme="1" tint="0.14999847407452621"/>
    <pageSetUpPr fitToPage="1"/>
  </sheetPr>
  <dimension ref="A1:N43"/>
  <sheetViews>
    <sheetView showGridLines="0" tabSelected="1" zoomScale="130" zoomScaleNormal="130" workbookViewId="0">
      <selection activeCell="B10" sqref="B10"/>
    </sheetView>
  </sheetViews>
  <sheetFormatPr defaultColWidth="9.140625" defaultRowHeight="15" x14ac:dyDescent="0.25"/>
  <cols>
    <col min="1" max="1" width="1.42578125" customWidth="1"/>
    <col min="2" max="2" width="40" bestFit="1" customWidth="1"/>
    <col min="3" max="3" width="7.85546875" bestFit="1" customWidth="1"/>
    <col min="4" max="6" width="6.7109375" bestFit="1" customWidth="1"/>
  </cols>
  <sheetData>
    <row r="1" spans="1:14" s="2" customFormat="1" ht="22.5" x14ac:dyDescent="0.3">
      <c r="A1" s="1" t="s">
        <v>94</v>
      </c>
    </row>
    <row r="2" spans="1:14" s="4" customFormat="1" ht="18.75" thickBot="1" x14ac:dyDescent="0.4">
      <c r="A2" s="3" t="s">
        <v>95</v>
      </c>
    </row>
    <row r="3" spans="1:14" s="6" customFormat="1" ht="18" x14ac:dyDescent="0.35">
      <c r="A3" s="5" t="s">
        <v>79</v>
      </c>
    </row>
    <row r="4" spans="1:14" s="26" customFormat="1" ht="15.75" x14ac:dyDescent="0.25">
      <c r="B4" s="27" t="s">
        <v>28</v>
      </c>
    </row>
    <row r="5" spans="1:14" s="25" customFormat="1" ht="7.5" customHeight="1" x14ac:dyDescent="0.2"/>
    <row r="6" spans="1:14" s="32" customFormat="1" ht="12" x14ac:dyDescent="0.2">
      <c r="A6" s="30"/>
      <c r="B6" s="14" t="s">
        <v>83</v>
      </c>
      <c r="C6" s="28">
        <v>10000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32" customFormat="1" ht="12" x14ac:dyDescent="0.2">
      <c r="A7" s="30"/>
      <c r="B7" s="14" t="s">
        <v>15</v>
      </c>
      <c r="C7" s="28">
        <v>5000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s="32" customFormat="1" ht="12" x14ac:dyDescent="0.2">
      <c r="A8" s="30"/>
      <c r="B8" s="14" t="s">
        <v>60</v>
      </c>
      <c r="C8" s="28">
        <v>20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s="32" customFormat="1" ht="12" x14ac:dyDescent="0.2">
      <c r="A9" s="30"/>
      <c r="B9" s="14" t="s">
        <v>96</v>
      </c>
      <c r="C9" s="28">
        <v>3000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s="32" customFormat="1" ht="12" x14ac:dyDescent="0.2">
      <c r="A10" s="30"/>
      <c r="B10" s="14" t="s">
        <v>80</v>
      </c>
      <c r="C10" s="28">
        <v>1200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 s="32" customFormat="1" ht="12" x14ac:dyDescent="0.2">
      <c r="A11" s="30"/>
      <c r="B11" s="14" t="s">
        <v>1</v>
      </c>
      <c r="C11" s="28">
        <v>90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s="32" customFormat="1" ht="12" x14ac:dyDescent="0.2">
      <c r="A12" s="30"/>
      <c r="B12" s="14" t="s">
        <v>3</v>
      </c>
      <c r="C12" s="28">
        <v>10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s="32" customFormat="1" ht="12" x14ac:dyDescent="0.2">
      <c r="A13" s="30"/>
      <c r="B13" s="14" t="s">
        <v>22</v>
      </c>
      <c r="C13" s="28">
        <f>500*12</f>
        <v>6000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s="32" customFormat="1" ht="12" x14ac:dyDescent="0.2">
      <c r="A14" s="30"/>
      <c r="B14" s="14" t="s">
        <v>81</v>
      </c>
      <c r="C14" s="28">
        <v>2000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 s="32" customFormat="1" ht="12" x14ac:dyDescent="0.2">
      <c r="A15" s="30"/>
      <c r="B15" s="14" t="s">
        <v>82</v>
      </c>
      <c r="C15" s="29">
        <v>0.5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s="32" customFormat="1" ht="12" x14ac:dyDescent="0.2">
      <c r="A16" s="30"/>
      <c r="B16" s="14" t="s">
        <v>11</v>
      </c>
      <c r="C16" s="29">
        <v>0.3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s="32" customFormat="1" ht="12" x14ac:dyDescent="0.2">
      <c r="A17" s="30"/>
      <c r="B17" s="14" t="s">
        <v>12</v>
      </c>
      <c r="C17" s="29">
        <v>0.1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s="25" customFormat="1" ht="7.5" customHeight="1" x14ac:dyDescent="0.2"/>
    <row r="19" spans="1:14" s="23" customFormat="1" ht="15.75" x14ac:dyDescent="0.25">
      <c r="B19" s="24" t="s">
        <v>27</v>
      </c>
    </row>
    <row r="20" spans="1:14" s="25" customFormat="1" ht="7.5" customHeight="1" x14ac:dyDescent="0.2"/>
    <row r="21" spans="1:14" s="7" customFormat="1" x14ac:dyDescent="0.25">
      <c r="B21" s="8" t="s">
        <v>29</v>
      </c>
      <c r="C21" s="8">
        <v>0</v>
      </c>
      <c r="D21" s="9">
        <v>1</v>
      </c>
      <c r="E21" s="9">
        <v>2</v>
      </c>
      <c r="F21" s="9">
        <v>3</v>
      </c>
    </row>
    <row r="22" spans="1:14" s="7" customFormat="1" x14ac:dyDescent="0.25">
      <c r="B22" s="20" t="s">
        <v>2</v>
      </c>
      <c r="C22" s="13"/>
      <c r="D22" s="13">
        <f>$C$10*$C$11</f>
        <v>108000</v>
      </c>
      <c r="E22" s="13">
        <f t="shared" ref="E22:F22" si="0">$C$10*$C$11</f>
        <v>108000</v>
      </c>
      <c r="F22" s="13">
        <f t="shared" si="0"/>
        <v>108000</v>
      </c>
    </row>
    <row r="23" spans="1:14" x14ac:dyDescent="0.25">
      <c r="B23" s="22" t="s">
        <v>4</v>
      </c>
      <c r="C23" s="13"/>
      <c r="D23" s="13">
        <f>-$C$12*$C$10</f>
        <v>-12000</v>
      </c>
      <c r="E23" s="13">
        <f t="shared" ref="E23:F23" si="1">-$C$12*$C$10</f>
        <v>-12000</v>
      </c>
      <c r="F23" s="13">
        <f t="shared" si="1"/>
        <v>-12000</v>
      </c>
    </row>
    <row r="24" spans="1:14" x14ac:dyDescent="0.25">
      <c r="B24" s="22" t="s">
        <v>22</v>
      </c>
      <c r="C24" s="13"/>
      <c r="D24" s="13">
        <f>-$C$13</f>
        <v>-6000</v>
      </c>
      <c r="E24" s="13">
        <f>-$C$13</f>
        <v>-6000</v>
      </c>
      <c r="F24" s="13">
        <f>-$C$13</f>
        <v>-6000</v>
      </c>
    </row>
    <row r="25" spans="1:14" x14ac:dyDescent="0.25">
      <c r="B25" s="20" t="s">
        <v>6</v>
      </c>
      <c r="C25" s="13"/>
      <c r="D25" s="13">
        <f>D22+D23+D24</f>
        <v>90000</v>
      </c>
      <c r="E25" s="13">
        <f t="shared" ref="E25:F25" si="2">E22+E23+E24</f>
        <v>90000</v>
      </c>
      <c r="F25" s="13">
        <f t="shared" si="2"/>
        <v>90000</v>
      </c>
    </row>
    <row r="26" spans="1:14" x14ac:dyDescent="0.25">
      <c r="B26" s="22" t="s">
        <v>7</v>
      </c>
      <c r="C26" s="13"/>
      <c r="D26" s="13">
        <f>-$C$7/$C$8</f>
        <v>-250</v>
      </c>
      <c r="E26" s="13">
        <f t="shared" ref="E26:F26" si="3">-$C$7/$C$8</f>
        <v>-250</v>
      </c>
      <c r="F26" s="13">
        <f t="shared" si="3"/>
        <v>-250</v>
      </c>
    </row>
    <row r="27" spans="1:14" x14ac:dyDescent="0.25">
      <c r="B27" s="20" t="s">
        <v>9</v>
      </c>
      <c r="C27" s="13"/>
      <c r="D27" s="13">
        <f>+D25+D26</f>
        <v>89750</v>
      </c>
      <c r="E27" s="13">
        <f t="shared" ref="E27:F27" si="4">+E25+E26</f>
        <v>89750</v>
      </c>
      <c r="F27" s="13">
        <f t="shared" si="4"/>
        <v>89750</v>
      </c>
    </row>
    <row r="28" spans="1:14" x14ac:dyDescent="0.25">
      <c r="B28" s="22" t="s">
        <v>10</v>
      </c>
      <c r="C28" s="13"/>
      <c r="D28" s="13">
        <f>-D27*$C$16</f>
        <v>-26925</v>
      </c>
      <c r="E28" s="13">
        <f t="shared" ref="E28:F28" si="5">-E27*$C$16</f>
        <v>-26925</v>
      </c>
      <c r="F28" s="13">
        <f t="shared" si="5"/>
        <v>-26925</v>
      </c>
    </row>
    <row r="29" spans="1:14" x14ac:dyDescent="0.25">
      <c r="B29" s="20" t="s">
        <v>13</v>
      </c>
      <c r="C29" s="13"/>
      <c r="D29" s="13">
        <f>+D27+D28</f>
        <v>62825</v>
      </c>
      <c r="E29" s="13">
        <f t="shared" ref="E29:F29" si="6">+E27+E28</f>
        <v>62825</v>
      </c>
      <c r="F29" s="13">
        <f t="shared" si="6"/>
        <v>62825</v>
      </c>
    </row>
    <row r="30" spans="1:14" x14ac:dyDescent="0.25">
      <c r="B30" s="16" t="s">
        <v>14</v>
      </c>
      <c r="C30" s="17"/>
      <c r="D30" s="17">
        <f>+D29-D26</f>
        <v>63075</v>
      </c>
      <c r="E30" s="17">
        <f t="shared" ref="E30:F30" si="7">+E29-E26</f>
        <v>63075</v>
      </c>
      <c r="F30" s="17">
        <f t="shared" si="7"/>
        <v>63075</v>
      </c>
    </row>
    <row r="31" spans="1:14" s="25" customFormat="1" ht="7.5" customHeight="1" x14ac:dyDescent="0.2">
      <c r="B31" s="34"/>
    </row>
    <row r="32" spans="1:14" x14ac:dyDescent="0.25">
      <c r="B32" s="19" t="s">
        <v>15</v>
      </c>
      <c r="C32" s="13">
        <f>-C7</f>
        <v>-5000</v>
      </c>
      <c r="D32" s="13"/>
      <c r="E32" s="13"/>
      <c r="F32" s="13"/>
    </row>
    <row r="33" spans="2:6" x14ac:dyDescent="0.25">
      <c r="B33" s="19" t="s">
        <v>25</v>
      </c>
      <c r="C33" s="13"/>
      <c r="D33" s="13">
        <f>-$C$6</f>
        <v>-10000</v>
      </c>
      <c r="E33" s="13">
        <f t="shared" ref="E33:F33" si="8">-$C$6</f>
        <v>-10000</v>
      </c>
      <c r="F33" s="13">
        <f t="shared" si="8"/>
        <v>-10000</v>
      </c>
    </row>
    <row r="34" spans="2:6" x14ac:dyDescent="0.25">
      <c r="B34" s="19" t="s">
        <v>18</v>
      </c>
      <c r="C34" s="13"/>
      <c r="D34" s="13">
        <f>D35+D36</f>
        <v>0</v>
      </c>
      <c r="E34" s="13">
        <f t="shared" ref="E34:F34" si="9">E35+E36</f>
        <v>0</v>
      </c>
      <c r="F34" s="13">
        <f t="shared" si="9"/>
        <v>3375</v>
      </c>
    </row>
    <row r="35" spans="2:6" s="7" customFormat="1" x14ac:dyDescent="0.25">
      <c r="B35" s="21" t="s">
        <v>96</v>
      </c>
      <c r="C35" s="11"/>
      <c r="D35" s="11"/>
      <c r="E35" s="11"/>
      <c r="F35" s="11">
        <f>C9</f>
        <v>3000</v>
      </c>
    </row>
    <row r="36" spans="2:6" s="7" customFormat="1" x14ac:dyDescent="0.25">
      <c r="B36" s="21" t="s">
        <v>24</v>
      </c>
      <c r="C36" s="11"/>
      <c r="D36" s="11"/>
      <c r="E36" s="11"/>
      <c r="F36" s="11">
        <f>-C16*(C9-(C7+SUM(D26:F26)))</f>
        <v>375</v>
      </c>
    </row>
    <row r="37" spans="2:6" x14ac:dyDescent="0.25">
      <c r="B37" s="19" t="s">
        <v>34</v>
      </c>
      <c r="C37" s="13">
        <f>-(C38)</f>
        <v>-2000</v>
      </c>
      <c r="D37" s="13">
        <f t="shared" ref="D37:F37" si="10">-(D38-C38)</f>
        <v>-4000</v>
      </c>
      <c r="E37" s="13">
        <f t="shared" si="10"/>
        <v>0</v>
      </c>
      <c r="F37" s="13">
        <f t="shared" si="10"/>
        <v>6000</v>
      </c>
    </row>
    <row r="38" spans="2:6" s="7" customFormat="1" x14ac:dyDescent="0.25">
      <c r="B38" s="21" t="s">
        <v>16</v>
      </c>
      <c r="C38" s="11">
        <f>C14</f>
        <v>2000</v>
      </c>
      <c r="D38" s="11">
        <f>$C$15*ABS(E23)</f>
        <v>6000</v>
      </c>
      <c r="E38" s="11">
        <f t="shared" ref="E38:F38" si="11">$C$15*ABS(F23)</f>
        <v>6000</v>
      </c>
      <c r="F38" s="11">
        <f t="shared" si="11"/>
        <v>0</v>
      </c>
    </row>
    <row r="39" spans="2:6" s="7" customFormat="1" x14ac:dyDescent="0.25">
      <c r="B39" s="16" t="s">
        <v>35</v>
      </c>
      <c r="C39" s="33">
        <f t="shared" ref="C39" si="12">C32+C33+C37+C34</f>
        <v>-7000</v>
      </c>
      <c r="D39" s="33">
        <f>D32+D33+D37+D34</f>
        <v>-14000</v>
      </c>
      <c r="E39" s="33">
        <f t="shared" ref="E39:F39" si="13">E32+E33+E37+E34</f>
        <v>-10000</v>
      </c>
      <c r="F39" s="33">
        <f t="shared" si="13"/>
        <v>-625</v>
      </c>
    </row>
    <row r="40" spans="2:6" s="25" customFormat="1" ht="7.5" customHeight="1" x14ac:dyDescent="0.2">
      <c r="B40" s="34"/>
      <c r="C40" s="45"/>
      <c r="D40" s="45"/>
      <c r="E40" s="45"/>
      <c r="F40" s="45"/>
    </row>
    <row r="41" spans="2:6" x14ac:dyDescent="0.25">
      <c r="B41" s="35" t="s">
        <v>36</v>
      </c>
      <c r="C41" s="36">
        <f>C30+C39</f>
        <v>-7000</v>
      </c>
      <c r="D41" s="36">
        <f>D30+D39</f>
        <v>49075</v>
      </c>
      <c r="E41" s="36">
        <f>E30+E39</f>
        <v>53075</v>
      </c>
      <c r="F41" s="36">
        <f>F30+F39</f>
        <v>62450</v>
      </c>
    </row>
    <row r="42" spans="2:6" x14ac:dyDescent="0.25">
      <c r="B42" s="20" t="s">
        <v>37</v>
      </c>
      <c r="C42" s="10">
        <f>C41/(1+$C$17)^C21</f>
        <v>-7000</v>
      </c>
      <c r="D42" s="10">
        <f t="shared" ref="D42:F42" si="14">D41/(1+$C$17)^D21</f>
        <v>44613.63636363636</v>
      </c>
      <c r="E42" s="10">
        <f t="shared" si="14"/>
        <v>43863.63636363636</v>
      </c>
      <c r="F42" s="10">
        <f t="shared" si="14"/>
        <v>46919.609316303518</v>
      </c>
    </row>
    <row r="43" spans="2:6" x14ac:dyDescent="0.25">
      <c r="B43" s="37" t="s">
        <v>38</v>
      </c>
      <c r="C43" s="38">
        <f>SUM(C42:G42)</f>
        <v>128396.88204357625</v>
      </c>
      <c r="D43" s="15"/>
      <c r="E43" s="15"/>
      <c r="F43" s="15"/>
    </row>
  </sheetData>
  <pageMargins left="0.7" right="0.7" top="0.75" bottom="0.75" header="0.3" footer="0.3"/>
  <pageSetup scale="50" fitToHeight="0" orientation="portrait" r:id="rId1"/>
  <ignoredErrors>
    <ignoredError sqref="D28:F28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BE7C3-1D35-43D5-9E09-813FDE25F3D3}">
  <sheetPr>
    <tabColor theme="1" tint="0.14999847407452621"/>
    <pageSetUpPr fitToPage="1"/>
  </sheetPr>
  <dimension ref="A1:N19"/>
  <sheetViews>
    <sheetView showGridLines="0" zoomScale="130" zoomScaleNormal="130" workbookViewId="0">
      <selection activeCell="C15" sqref="C15"/>
    </sheetView>
  </sheetViews>
  <sheetFormatPr defaultColWidth="9.140625" defaultRowHeight="15" x14ac:dyDescent="0.25"/>
  <cols>
    <col min="1" max="1" width="1.42578125" customWidth="1"/>
    <col min="2" max="2" width="40" bestFit="1" customWidth="1"/>
    <col min="3" max="3" width="8.28515625" bestFit="1" customWidth="1"/>
    <col min="4" max="6" width="6.7109375" bestFit="1" customWidth="1"/>
  </cols>
  <sheetData>
    <row r="1" spans="1:14" s="2" customFormat="1" ht="22.5" x14ac:dyDescent="0.3">
      <c r="A1" s="1" t="s">
        <v>94</v>
      </c>
    </row>
    <row r="2" spans="1:14" s="4" customFormat="1" ht="18.75" thickBot="1" x14ac:dyDescent="0.4">
      <c r="A2" s="3" t="s">
        <v>95</v>
      </c>
    </row>
    <row r="3" spans="1:14" s="6" customFormat="1" ht="18" x14ac:dyDescent="0.35">
      <c r="A3" s="5" t="s">
        <v>84</v>
      </c>
    </row>
    <row r="4" spans="1:14" s="47" customFormat="1" ht="15.75" x14ac:dyDescent="0.25">
      <c r="B4" s="48" t="s">
        <v>85</v>
      </c>
    </row>
    <row r="5" spans="1:14" s="25" customFormat="1" ht="7.5" customHeight="1" x14ac:dyDescent="0.2"/>
    <row r="6" spans="1:14" s="32" customFormat="1" ht="12" x14ac:dyDescent="0.2">
      <c r="A6" s="30"/>
      <c r="B6" s="14" t="s">
        <v>88</v>
      </c>
      <c r="C6" s="28">
        <v>300000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32" customFormat="1" ht="12" x14ac:dyDescent="0.2">
      <c r="A7" s="30"/>
      <c r="B7" s="14" t="s">
        <v>89</v>
      </c>
      <c r="C7" s="28">
        <v>6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s="32" customFormat="1" ht="12" x14ac:dyDescent="0.2">
      <c r="A8" s="30"/>
      <c r="B8" s="14" t="s">
        <v>90</v>
      </c>
      <c r="C8" s="28">
        <v>4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s="32" customFormat="1" ht="12" x14ac:dyDescent="0.2">
      <c r="A9" s="30"/>
      <c r="B9" s="14" t="s">
        <v>96</v>
      </c>
      <c r="C9" s="28">
        <v>50000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s="32" customFormat="1" ht="12" x14ac:dyDescent="0.2">
      <c r="A10" s="30"/>
      <c r="B10" s="14" t="s">
        <v>11</v>
      </c>
      <c r="C10" s="29">
        <v>0.2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 s="32" customFormat="1" ht="12" x14ac:dyDescent="0.2">
      <c r="A11" s="30"/>
      <c r="B11" s="14" t="s">
        <v>92</v>
      </c>
      <c r="C11" s="49">
        <f>C6/C7</f>
        <v>50000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s="32" customFormat="1" ht="12" x14ac:dyDescent="0.2">
      <c r="A12" s="30"/>
      <c r="B12" s="14" t="s">
        <v>91</v>
      </c>
      <c r="C12" s="49">
        <f>C6-C11*C8</f>
        <v>100000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s="32" customFormat="1" ht="12" x14ac:dyDescent="0.2">
      <c r="A13" s="30"/>
      <c r="B13" s="14" t="s">
        <v>93</v>
      </c>
      <c r="C13" s="49">
        <f>C9-C12</f>
        <v>-50000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s="32" customFormat="1" ht="12" x14ac:dyDescent="0.2">
      <c r="A14" s="30"/>
      <c r="B14" s="14" t="s">
        <v>24</v>
      </c>
      <c r="C14" s="49">
        <f>C10*C13</f>
        <v>-10000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 s="32" customFormat="1" ht="12" x14ac:dyDescent="0.2">
      <c r="A15" s="30"/>
      <c r="B15" s="14" t="s">
        <v>17</v>
      </c>
      <c r="C15" s="50">
        <f>C9-C14</f>
        <v>60000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s="25" customFormat="1" ht="7.5" customHeight="1" x14ac:dyDescent="0.2"/>
    <row r="17" spans="2:2" s="47" customFormat="1" ht="15.75" x14ac:dyDescent="0.25">
      <c r="B17" s="48" t="s">
        <v>86</v>
      </c>
    </row>
    <row r="19" spans="2:2" s="51" customFormat="1" ht="12" x14ac:dyDescent="0.2">
      <c r="B19" s="51" t="s">
        <v>87</v>
      </c>
    </row>
  </sheetData>
  <pageMargins left="0.7" right="0.7" top="0.75" bottom="0.75" header="0.3" footer="0.3"/>
  <pageSetup scale="6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9D06A7CC18D44E9AEF22A83B1CF9C2" ma:contentTypeVersion="9" ma:contentTypeDescription="Criar um novo documento." ma:contentTypeScope="" ma:versionID="9fbf10c135fca4e0ab11c6069decc817">
  <xsd:schema xmlns:xsd="http://www.w3.org/2001/XMLSchema" xmlns:xs="http://www.w3.org/2001/XMLSchema" xmlns:p="http://schemas.microsoft.com/office/2006/metadata/properties" xmlns:ns2="c8978d91-f351-421c-8b15-b251e129c7c0" targetNamespace="http://schemas.microsoft.com/office/2006/metadata/properties" ma:root="true" ma:fieldsID="8a1792592758819513c5d084d49f3da8" ns2:_="">
    <xsd:import namespace="c8978d91-f351-421c-8b15-b251e129c7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978d91-f351-421c-8b15-b251e129c7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337380-EDB7-42E4-9931-DE893DE1F46A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c70ed27d-97e6-426f-8fdd-e07273d58975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85A363A-9DBF-42E9-BE7A-3B4053449C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4990D2-62D3-4A6F-80DB-06DAD28D3C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978d91-f351-421c-8b15-b251e129c7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Ecoglass</vt:lpstr>
      <vt:lpstr>Eanos</vt:lpstr>
      <vt:lpstr>CarcavelluSurf</vt:lpstr>
      <vt:lpstr>Magnus</vt:lpstr>
      <vt:lpstr>Wonky</vt:lpstr>
      <vt:lpstr>Maria</vt:lpstr>
      <vt:lpstr>Other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Nunes, Alice</dc:creator>
  <cp:lastModifiedBy>Margarida Soares</cp:lastModifiedBy>
  <cp:lastPrinted>2020-09-25T16:38:14Z</cp:lastPrinted>
  <dcterms:created xsi:type="dcterms:W3CDTF">2020-03-03T17:50:15Z</dcterms:created>
  <dcterms:modified xsi:type="dcterms:W3CDTF">2023-10-26T11:08:15Z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0x0101005E9D06A7CC18D44E9AEF22A83B1CF9C2</vt:lpwstr>
  </property>
</Properties>
</file>